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4890" tabRatio="728" activeTab="3"/>
  </bookViews>
  <sheets>
    <sheet name="Cataphorèse" sheetId="1" r:id="rId1"/>
    <sheet name="Bases" sheetId="2" r:id="rId2"/>
    <sheet name="Vernis" sheetId="3" r:id="rId3"/>
    <sheet name="Apprêts" sheetId="4" r:id="rId4"/>
    <sheet name="Dilution" sheetId="5" r:id="rId5"/>
    <sheet name="MASTLAQ1" sheetId="6" r:id="rId6"/>
  </sheets>
  <definedNames>
    <definedName name="\0" localSheetId="3">'Apprêts'!$IV$8192</definedName>
    <definedName name="\0" localSheetId="0">'Cataphorèse'!$IV$8192</definedName>
    <definedName name="\0" localSheetId="4">'Dilution'!$B$479</definedName>
    <definedName name="\0" localSheetId="2">'Vernis'!$IV$8192</definedName>
    <definedName name="\0">'Bases'!$IV$8192</definedName>
    <definedName name="\a" localSheetId="3">'Apprêts'!$IV$8192</definedName>
    <definedName name="\a" localSheetId="0">'Cataphorèse'!$IV$8192</definedName>
    <definedName name="\a" localSheetId="4">'Dilution'!$B$479</definedName>
    <definedName name="\a" localSheetId="2">'Vernis'!$IV$8192</definedName>
    <definedName name="\a">'Bases'!$IV$8192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COMPTEUR" localSheetId="3">'Apprêts'!$IV$8192</definedName>
    <definedName name="COMPTEUR" localSheetId="0">'Cataphorèse'!$IV$8192</definedName>
    <definedName name="COMPTEUR" localSheetId="4">'Dilution'!$IV$8150</definedName>
    <definedName name="COMPTEUR" localSheetId="2">'Vernis'!$IV$8192</definedName>
    <definedName name="COMPTEUR">'Bases'!$IV$8192</definedName>
    <definedName name="Impres_titres_MI" localSheetId="4">'Dilution'!$A:$E</definedName>
    <definedName name="Impres_titres_MI" localSheetId="5">'MASTLAQ1'!$1:$12,'MASTLAQ1'!$A:$B</definedName>
    <definedName name="_xlnm.Print_Titles" localSheetId="4">'Dilution'!$A:$E</definedName>
    <definedName name="_xlnm.Print_Titles" localSheetId="5">'MASTLAQ1'!$A:$B,'MASTLAQ1'!$1:$12</definedName>
    <definedName name="TAB" localSheetId="3">'Apprêts'!$AS$524:$IV$16384</definedName>
    <definedName name="TAB" localSheetId="0">'Cataphorèse'!$AS$524:$IV$16384</definedName>
    <definedName name="TAB" localSheetId="4">'Dilution'!$BO$477:$IV$8150</definedName>
    <definedName name="TAB" localSheetId="2">'Vernis'!$AS$524:$IV$16384</definedName>
    <definedName name="TAB">'Bases'!$AS$524:$IV$16384</definedName>
    <definedName name="_xlnm.Print_Area" localSheetId="3">'Apprêts'!$A$1:$AA$110</definedName>
    <definedName name="_xlnm.Print_Area" localSheetId="1">'Bases'!$A$1:$AA$110</definedName>
    <definedName name="_xlnm.Print_Area" localSheetId="0">'Cataphorèse'!$A$1:$AA$110</definedName>
    <definedName name="_xlnm.Print_Area" localSheetId="4">'Dilution'!$F$1:$AA$53</definedName>
    <definedName name="_xlnm.Print_Area" localSheetId="5">'MASTLAQ1'!$C$13:$AZ$146</definedName>
    <definedName name="_xlnm.Print_Area" localSheetId="2">'Vernis'!$A$1:$AA$110</definedName>
    <definedName name="Zone_impres_MI" localSheetId="3">'Apprêts'!$A$1:$Z$110</definedName>
    <definedName name="Zone_impres_MI" localSheetId="1">'Bases'!$A$1:$Z$110</definedName>
    <definedName name="Zone_impres_MI" localSheetId="0">'Cataphorèse'!$A$1:$Z$110</definedName>
    <definedName name="Zone_impres_MI" localSheetId="5">'MASTLAQ1'!$C$13:$AZ$146</definedName>
    <definedName name="Zone_impres_MI" localSheetId="2">'Vernis'!$A$1:$Z$110</definedName>
    <definedName name="Zone_impres_MI">'Dilution'!$F$1:$AA$53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<sst xmlns="http://schemas.openxmlformats.org/spreadsheetml/2006/main" count="2231" uniqueCount="390">
  <si>
    <t>MGC/PEI/PPLV</t>
  </si>
  <si>
    <t>Date de diffusion</t>
  </si>
  <si>
    <t>COMPARAISON  DE  PRODUITS</t>
  </si>
  <si>
    <t>Date de mise à jour</t>
  </si>
  <si>
    <t>NATURE DU PRODUIT</t>
  </si>
  <si>
    <t>RAPS Fonds</t>
  </si>
  <si>
    <t>CATAPHORESE</t>
  </si>
  <si>
    <t>FOURNISSEUR</t>
  </si>
  <si>
    <t>PPG</t>
  </si>
  <si>
    <t>KH</t>
  </si>
  <si>
    <t>REFERENCE</t>
  </si>
  <si>
    <t>SX</t>
  </si>
  <si>
    <t>TYPE Mono M ou Bicomposant B</t>
  </si>
  <si>
    <t>B</t>
  </si>
  <si>
    <t>PRODUIT Hydro O ou Solvant S</t>
  </si>
  <si>
    <t>O</t>
  </si>
  <si>
    <t>CONCENTRE</t>
  </si>
  <si>
    <t xml:space="preserve">Densité solvant formulation </t>
  </si>
  <si>
    <t>LIANT</t>
  </si>
  <si>
    <t>Densite</t>
  </si>
  <si>
    <t>Extrait sec en poids</t>
  </si>
  <si>
    <t>%</t>
  </si>
  <si>
    <t>% hydrocarbure en poids</t>
  </si>
  <si>
    <t>Prix au Kg hors prestation</t>
  </si>
  <si>
    <t>Prix au Kg de la prestation</t>
  </si>
  <si>
    <t>Prix au kg avec prestation</t>
  </si>
  <si>
    <t>F/Kg</t>
  </si>
  <si>
    <t>PATE</t>
  </si>
  <si>
    <t>Prix au kg avec prestation  (idem liant)</t>
  </si>
  <si>
    <t>RAPPORT LIANT/PATE en volume  ou</t>
  </si>
  <si>
    <t>RAPPORT LIANT/PATE en poids</t>
  </si>
  <si>
    <t>DILUTION</t>
  </si>
  <si>
    <t>Solvant 1</t>
  </si>
  <si>
    <t>Dilution en % du VOL du LIANT ou</t>
  </si>
  <si>
    <t xml:space="preserve">Dilution en % du POIDS du LIANT </t>
  </si>
  <si>
    <t>Densité</t>
  </si>
  <si>
    <t>Prix du litre ou</t>
  </si>
  <si>
    <t>F/Lt</t>
  </si>
  <si>
    <t>Prix du kilo</t>
  </si>
  <si>
    <t>Solvant 2</t>
  </si>
  <si>
    <t>RESULTATS POUR LE CONCENTRE</t>
  </si>
  <si>
    <t>Rapport liant/pate en poids</t>
  </si>
  <si>
    <t>Rapport liant/pate en volume</t>
  </si>
  <si>
    <t>Densité du mélange</t>
  </si>
  <si>
    <t>Extrait sec en poids du mélange</t>
  </si>
  <si>
    <t>Extrait sec en volume du mélange</t>
  </si>
  <si>
    <t>Densité de l'extrait sec</t>
  </si>
  <si>
    <t>Prix du lt de mélange</t>
  </si>
  <si>
    <t>Prix du kg de mélange</t>
  </si>
  <si>
    <t>Prix du kg d'extrait sec</t>
  </si>
  <si>
    <t>Prix du lt d'extrait sec</t>
  </si>
  <si>
    <t>RESULTATS POUR LE DILUE</t>
  </si>
  <si>
    <t>Densité du mélange dilué</t>
  </si>
  <si>
    <t>Extrait sec en poids du mélange dilué</t>
  </si>
  <si>
    <t>Extrait sec en poids du mél.dilué</t>
  </si>
  <si>
    <t>Extrait sec en volume du mélange dilué</t>
  </si>
  <si>
    <t>Extrait sec en volume du mél.dilué</t>
  </si>
  <si>
    <t>Prix du lt de mélange dilué</t>
  </si>
  <si>
    <t>Prix du kg de mélange dilué</t>
  </si>
  <si>
    <t>RESULTATS INTERMEDIARES</t>
  </si>
  <si>
    <t xml:space="preserve">Dilution en % du VOLUME du LIANT </t>
  </si>
  <si>
    <t>Solv.1</t>
  </si>
  <si>
    <t xml:space="preserve">Prix du litre </t>
  </si>
  <si>
    <t>Dilution en % du VOLUME du LIANT</t>
  </si>
  <si>
    <t>Solv.2</t>
  </si>
  <si>
    <t>Dilution</t>
  </si>
  <si>
    <t>Volume</t>
  </si>
  <si>
    <t>Masse</t>
  </si>
  <si>
    <t>Coût</t>
  </si>
  <si>
    <t xml:space="preserve">   BILAN SERIE</t>
  </si>
  <si>
    <t xml:space="preserve">   BILAN PREVISIONNEL</t>
  </si>
  <si>
    <t>Epaisseur de référence</t>
  </si>
  <si>
    <t>µ</t>
  </si>
  <si>
    <t>Surface de référence</t>
  </si>
  <si>
    <t>m2</t>
  </si>
  <si>
    <t>Consom.LIANT</t>
  </si>
  <si>
    <t>Kg/m² référence</t>
  </si>
  <si>
    <t>Consommation LIANT</t>
  </si>
  <si>
    <t>Consommation PATE</t>
  </si>
  <si>
    <t>Rapport L/P en poids</t>
  </si>
  <si>
    <t>Consom. REFERENCE</t>
  </si>
  <si>
    <t>Cm3 sec/m2</t>
  </si>
  <si>
    <t>DEFINITION VOIT.</t>
  </si>
  <si>
    <t>CONS.SERIE</t>
  </si>
  <si>
    <t>POLLUT.</t>
  </si>
  <si>
    <t>PRIX VOITURE</t>
  </si>
  <si>
    <t>PRODUCT.PAR CENTRE</t>
  </si>
  <si>
    <t>CONSOM. CAL</t>
  </si>
  <si>
    <t>VAR.PRIX VOIT.</t>
  </si>
  <si>
    <t>Type</t>
  </si>
  <si>
    <t>Surface</t>
  </si>
  <si>
    <t>Liant</t>
  </si>
  <si>
    <t>Pate</t>
  </si>
  <si>
    <t>Solvant</t>
  </si>
  <si>
    <t>Concentre</t>
  </si>
  <si>
    <t>Dilué</t>
  </si>
  <si>
    <t>Sochaux</t>
  </si>
  <si>
    <t>Mulh.</t>
  </si>
  <si>
    <t>Poissy</t>
  </si>
  <si>
    <t>m²</t>
  </si>
  <si>
    <t>Kg/Vt</t>
  </si>
  <si>
    <t>F/Vt</t>
  </si>
  <si>
    <t>Nb/J</t>
  </si>
  <si>
    <t>M2/1000</t>
  </si>
  <si>
    <t>UNITE</t>
  </si>
  <si>
    <t>106 3P</t>
  </si>
  <si>
    <t>106 5P</t>
  </si>
  <si>
    <t>406 berline</t>
  </si>
  <si>
    <t>406 break</t>
  </si>
  <si>
    <t>605</t>
  </si>
  <si>
    <t>306  5P</t>
  </si>
  <si>
    <t>306 3P</t>
  </si>
  <si>
    <t>306  4P</t>
  </si>
  <si>
    <t>T10  3P</t>
  </si>
  <si>
    <t>T11  5P</t>
  </si>
  <si>
    <t>S80  3P</t>
  </si>
  <si>
    <t>S81  5P</t>
  </si>
  <si>
    <t>Zsara 5P</t>
  </si>
  <si>
    <t>Zsara Break</t>
  </si>
  <si>
    <t>Xantia niv1</t>
  </si>
  <si>
    <t>XM</t>
  </si>
  <si>
    <t>U60</t>
  </si>
  <si>
    <t>TOTAL</t>
  </si>
  <si>
    <t>Mastcat1</t>
  </si>
  <si>
    <t>Rouge Vallelllunga</t>
  </si>
  <si>
    <t>Rouge Ecarlate</t>
  </si>
  <si>
    <t>BASES</t>
  </si>
  <si>
    <t>SO</t>
  </si>
  <si>
    <t>Sans plomb</t>
  </si>
  <si>
    <t>PY</t>
  </si>
  <si>
    <t>Nouveau</t>
  </si>
  <si>
    <t>M</t>
  </si>
  <si>
    <t>S</t>
  </si>
  <si>
    <t>RAPPORT LIANT/PATE en volume ou</t>
  </si>
  <si>
    <t>DS1102A</t>
  </si>
  <si>
    <t>Cetonique</t>
  </si>
  <si>
    <t>30AB/70XY</t>
  </si>
  <si>
    <t>Berlin combi</t>
  </si>
  <si>
    <t xml:space="preserve">306 4P </t>
  </si>
  <si>
    <t>T10 3P</t>
  </si>
  <si>
    <t>T11 5P</t>
  </si>
  <si>
    <t>Xsara 5 P</t>
  </si>
  <si>
    <t>Xsara break</t>
  </si>
  <si>
    <t>Xantianiv1</t>
  </si>
  <si>
    <t>MONO</t>
  </si>
  <si>
    <t>bicomp</t>
  </si>
  <si>
    <t>VERNIS</t>
  </si>
  <si>
    <t>VF2000/9124665</t>
  </si>
  <si>
    <t>R850i401</t>
  </si>
  <si>
    <t>Xylène</t>
  </si>
  <si>
    <t xml:space="preserve">Berli Comb </t>
  </si>
  <si>
    <t>APPRETS</t>
  </si>
  <si>
    <t>406 Break</t>
  </si>
  <si>
    <t>Berli Combi</t>
  </si>
  <si>
    <t>306 4 portes</t>
  </si>
  <si>
    <t>T10 3 portes</t>
  </si>
  <si>
    <t>T11 5 portes</t>
  </si>
  <si>
    <t>Xsara 5 portes</t>
  </si>
  <si>
    <t>Xsara Break</t>
  </si>
  <si>
    <t>Mastlaq3</t>
  </si>
  <si>
    <t>Date diffusion</t>
  </si>
  <si>
    <t>CALCULS  DES  MELANGES  DE  DILUTION</t>
  </si>
  <si>
    <t>Date mise à jour</t>
  </si>
  <si>
    <t>Mélange 1</t>
  </si>
  <si>
    <t>Fr/Kg</t>
  </si>
  <si>
    <t>NOM</t>
  </si>
  <si>
    <t>Fr/lt</t>
  </si>
  <si>
    <t>% de mélange en volume</t>
  </si>
  <si>
    <t>% de mélange en Poids</t>
  </si>
  <si>
    <t>SOLVANT 1</t>
  </si>
  <si>
    <t>SOLVANT 2</t>
  </si>
  <si>
    <t>Solv.150</t>
  </si>
  <si>
    <t>Mélange</t>
  </si>
  <si>
    <t>Prix litre</t>
  </si>
  <si>
    <t>Prix kg</t>
  </si>
  <si>
    <t>Mélange 2</t>
  </si>
  <si>
    <t>Acet.Butyl</t>
  </si>
  <si>
    <t>DIVERS</t>
  </si>
  <si>
    <t>MEK90/ISO10</t>
  </si>
  <si>
    <t>DS1102A/90/10</t>
  </si>
  <si>
    <t>Cétonique PY</t>
  </si>
  <si>
    <t>Solv. 100 SX</t>
  </si>
  <si>
    <t>RJ36AB/64X</t>
  </si>
  <si>
    <t>Mélange 3</t>
  </si>
  <si>
    <t>Mélange 4</t>
  </si>
  <si>
    <t>SOLVANT 3</t>
  </si>
  <si>
    <t>DVHL/PEI/LPP</t>
  </si>
  <si>
    <t>SOCHAUX  CALCUL DES PRIX MATIERE ARLEQUIN ET BILAN POLLUTION  D93 AVEC TEINTES D83 prestation 97, vernis 97</t>
  </si>
  <si>
    <t>Consom 4/98</t>
  </si>
  <si>
    <t>EXT grav</t>
  </si>
  <si>
    <t>Surfaces intérieures base</t>
  </si>
  <si>
    <t>Surfaces intérieures vernis</t>
  </si>
  <si>
    <t>EXT N.Grav</t>
  </si>
  <si>
    <t>Totale int</t>
  </si>
  <si>
    <t>Int moteur</t>
  </si>
  <si>
    <t>Entrées portes</t>
  </si>
  <si>
    <t>Coffre</t>
  </si>
  <si>
    <t>Surf. totale base</t>
  </si>
  <si>
    <t>Total int</t>
  </si>
  <si>
    <t>int portes</t>
  </si>
  <si>
    <t>coffre</t>
  </si>
  <si>
    <t>Surf. totale vernis</t>
  </si>
  <si>
    <t>INT</t>
  </si>
  <si>
    <t xml:space="preserve">m² </t>
  </si>
  <si>
    <t xml:space="preserve">Surf. réelle </t>
  </si>
  <si>
    <t>Herberts</t>
  </si>
  <si>
    <t>Total</t>
  </si>
  <si>
    <t>MASTLAQ1 17.11.98</t>
  </si>
  <si>
    <t xml:space="preserve">Surf. corrigée </t>
  </si>
  <si>
    <t xml:space="preserve">Prestation fournisseur </t>
  </si>
  <si>
    <t>Surf. corrigée</t>
  </si>
  <si>
    <t>m² corrigés</t>
  </si>
  <si>
    <t>m² réels</t>
  </si>
  <si>
    <t xml:space="preserve">TYPE DE PRODUIT </t>
  </si>
  <si>
    <t>LAQUES</t>
  </si>
  <si>
    <t>Teinte</t>
  </si>
  <si>
    <t>Blanc Banquise</t>
  </si>
  <si>
    <t>Gris quartz</t>
  </si>
  <si>
    <t>Gris Chateau</t>
  </si>
  <si>
    <t>Rouge Lucifer</t>
  </si>
  <si>
    <t>Rouge Vulcain</t>
  </si>
  <si>
    <t>Beige Versailles</t>
  </si>
  <si>
    <t>Vert Sherwood</t>
  </si>
  <si>
    <t>Vert Nausicaa</t>
  </si>
  <si>
    <t>Bleu de Chine</t>
  </si>
  <si>
    <t>Vert Ipicea</t>
  </si>
  <si>
    <t>Rouge Andalou</t>
  </si>
  <si>
    <t>Palomino</t>
  </si>
  <si>
    <t>Bleu de Rhodes</t>
  </si>
  <si>
    <t>Noir Onyx</t>
  </si>
  <si>
    <t>Type:O,OV,MV,NacV</t>
  </si>
  <si>
    <t xml:space="preserve">Opaque </t>
  </si>
  <si>
    <t>Métal vernis</t>
  </si>
  <si>
    <t>Nacré Vernis</t>
  </si>
  <si>
    <t>Metal Vernis</t>
  </si>
  <si>
    <t>Opaque Vernis</t>
  </si>
  <si>
    <t xml:space="preserve">Pondération calculée teintes apprets </t>
  </si>
  <si>
    <t>IDAC</t>
  </si>
  <si>
    <t>Fournisseur</t>
  </si>
  <si>
    <t>Référence</t>
  </si>
  <si>
    <t>9129105</t>
  </si>
  <si>
    <t>R860i401</t>
  </si>
  <si>
    <t>498107</t>
  </si>
  <si>
    <t>E745</t>
  </si>
  <si>
    <t>912359</t>
  </si>
  <si>
    <t>G402</t>
  </si>
  <si>
    <t>912416</t>
  </si>
  <si>
    <t>G401</t>
  </si>
  <si>
    <t>Appret teinté utilisé</t>
  </si>
  <si>
    <t>Appret teinté souhaité</t>
  </si>
  <si>
    <t>Répartition fournisseurs Vernis</t>
  </si>
  <si>
    <t>Répartition fournisseur apprets</t>
  </si>
  <si>
    <t xml:space="preserve"> </t>
  </si>
  <si>
    <t>Extr sec poids</t>
  </si>
  <si>
    <t xml:space="preserve">Densité solvant </t>
  </si>
  <si>
    <t>Prix du kg - prestation</t>
  </si>
  <si>
    <t>Prix du kg + prestation</t>
  </si>
  <si>
    <t>Xyléne</t>
  </si>
  <si>
    <t>50AB/50X</t>
  </si>
  <si>
    <t>40AB/60X</t>
  </si>
  <si>
    <t>60AB/40X</t>
  </si>
  <si>
    <t>70X/30AB</t>
  </si>
  <si>
    <t>AB</t>
  </si>
  <si>
    <t>% Dilution VOLUME</t>
  </si>
  <si>
    <t>% Dilution POIDS</t>
  </si>
  <si>
    <t>Prix du litre</t>
  </si>
  <si>
    <t>CALCULS  CONCENTRE</t>
  </si>
  <si>
    <t>Extrait sec VOLUME</t>
  </si>
  <si>
    <t xml:space="preserve">Densité extr.sec </t>
  </si>
  <si>
    <t>Prix kg extr.sec</t>
  </si>
  <si>
    <t>Prix litre extr.sec</t>
  </si>
  <si>
    <t>FR/lt sec arlequin base</t>
  </si>
  <si>
    <t>Fr/lesc</t>
  </si>
  <si>
    <t>Prix du litre concentré</t>
  </si>
  <si>
    <t>FR/lt sec arlequin vernis</t>
  </si>
  <si>
    <t>CALCULS  DILUTION</t>
  </si>
  <si>
    <t>% Dilution 1 VOLUME</t>
  </si>
  <si>
    <t>% Dilution 1 en POIDS</t>
  </si>
  <si>
    <t>Prix au litre solvant 1</t>
  </si>
  <si>
    <t>% Dilution 2 VOLUME</t>
  </si>
  <si>
    <t>% Dilution 2 en POIDS</t>
  </si>
  <si>
    <t>Prix au litre solvant 2</t>
  </si>
  <si>
    <t>CALCULS  DILUE</t>
  </si>
  <si>
    <t xml:space="preserve">Densité </t>
  </si>
  <si>
    <t>Extr.sec POIDS</t>
  </si>
  <si>
    <t>Extr.sec VOLUME</t>
  </si>
  <si>
    <t xml:space="preserve">Prix litre </t>
  </si>
  <si>
    <t xml:space="preserve">Prix kg </t>
  </si>
  <si>
    <t>CARACTERISTIQUES</t>
  </si>
  <si>
    <t>KG sec/Vt B+V</t>
  </si>
  <si>
    <t>Kg conc. au m²corrigé BTC</t>
  </si>
  <si>
    <t>Retouches intégrées à la consom.</t>
  </si>
  <si>
    <t>Conso Kg SEC/m²corrig</t>
  </si>
  <si>
    <t>PRIX Arlequin Vernis</t>
  </si>
  <si>
    <t xml:space="preserve">Consom Kg concen/Vt </t>
  </si>
  <si>
    <t>Fr/Vt</t>
  </si>
  <si>
    <t>Consom litre dilué/m²corrig</t>
  </si>
  <si>
    <t>Soit en Fr/m² corrigé</t>
  </si>
  <si>
    <t xml:space="preserve">Prix concen/Vt </t>
  </si>
  <si>
    <t>Prix solvants/Vt</t>
  </si>
  <si>
    <t xml:space="preserve">Prix matière voiture </t>
  </si>
  <si>
    <t>Prix Arlequin Bases</t>
  </si>
  <si>
    <t>Prix mat. pondéré voit.</t>
  </si>
  <si>
    <t>Pondération teinte</t>
  </si>
  <si>
    <t>POLLUTION  ceff. aptitude</t>
  </si>
  <si>
    <t>Solvants pour teinte</t>
  </si>
  <si>
    <t>Prix total B + V</t>
  </si>
  <si>
    <t>Solvants pondérés</t>
  </si>
  <si>
    <t>Kg solvant/Vt</t>
  </si>
  <si>
    <t>Prix mat /m² pondéré</t>
  </si>
  <si>
    <t>Soit Fr/m² corrigé de base</t>
  </si>
  <si>
    <t>KG sec/Vt</t>
  </si>
  <si>
    <t>Coefficient d'aptitude à la pollution :  10000 / ( extrait sec volume X extrait sec poids ): plus il est élevé, plus la pollution sera élevée</t>
  </si>
  <si>
    <t>Kg de pollution solvant</t>
  </si>
  <si>
    <t>CALCUL  DE  CONSOMMATIONS  PREVISIONNELLES</t>
  </si>
  <si>
    <t>EXTERIEURS VEHICULE</t>
  </si>
  <si>
    <t>Tension</t>
  </si>
  <si>
    <t>Pouvoir couvrant théorique µ</t>
  </si>
  <si>
    <t>Pouvoir couvrant pris compte</t>
  </si>
  <si>
    <t>Epaisseur en plus (capabilité)</t>
  </si>
  <si>
    <t>Epaisseur thèorique à déposer</t>
  </si>
  <si>
    <t>Epaisseur maxi machine</t>
  </si>
  <si>
    <t>Epaisseur  déposée</t>
  </si>
  <si>
    <t>Zone non grav</t>
  </si>
  <si>
    <t>INTERIEURS VEHICULE</t>
  </si>
  <si>
    <t>Epaisseur int moteur</t>
  </si>
  <si>
    <t>Epaisseur coffre</t>
  </si>
  <si>
    <t>Epaisseur entrées de portes µ</t>
  </si>
  <si>
    <t>Rendement application %</t>
  </si>
  <si>
    <t>Vernis electrostatique</t>
  </si>
  <si>
    <t>Epaisseur int µ</t>
  </si>
  <si>
    <t>Volume de sec par voiture</t>
  </si>
  <si>
    <t>1° couche</t>
  </si>
  <si>
    <t>% épaisseur déposée</t>
  </si>
  <si>
    <t>2° couche</t>
  </si>
  <si>
    <t>Zone grav</t>
  </si>
  <si>
    <t xml:space="preserve"> +10 µ</t>
  </si>
  <si>
    <t>PURGE</t>
  </si>
  <si>
    <t>Volume peinture diluée</t>
  </si>
  <si>
    <t>Longueur des convois</t>
  </si>
  <si>
    <t>RETOUCHES  TOTALES</t>
  </si>
  <si>
    <t>Extérieurs et entrées portes</t>
  </si>
  <si>
    <t>% de la production</t>
  </si>
  <si>
    <t>RESULTATS</t>
  </si>
  <si>
    <t>Volume de concentré/ Voit.</t>
  </si>
  <si>
    <t>Kg concentré/ Voit</t>
  </si>
  <si>
    <t>Kg concentré / m²corrigé</t>
  </si>
  <si>
    <t>Précision prévision</t>
  </si>
  <si>
    <t>Rapp conso BTC/Prévisio.</t>
  </si>
  <si>
    <t>Base</t>
  </si>
  <si>
    <t>Vernis</t>
  </si>
  <si>
    <t>Si le pouvoir couvrant théorique est inférieur à 12 µ, prendre 12 µ pour tenir compte des moyens d'application qui ne peuvent faire moins</t>
  </si>
  <si>
    <t>Pour les bases l'épaisseur maxi en extérieur ne peut dépasser 18 µ maxi</t>
  </si>
  <si>
    <t>CALCUL PRIX VOITURE</t>
  </si>
  <si>
    <t>Ecart avec BTC  =-&gt;</t>
  </si>
  <si>
    <t>Arleq base</t>
  </si>
  <si>
    <t>POLLUTION</t>
  </si>
  <si>
    <t>Arleq vernis</t>
  </si>
  <si>
    <t>Total prévisio.</t>
  </si>
  <si>
    <t>Kg pollution prévi.</t>
  </si>
  <si>
    <t>Kg concentré / m² corrigé</t>
  </si>
  <si>
    <t>Coût en Fr/m² corrigé</t>
  </si>
  <si>
    <t>Eléments de calcul Vernis</t>
  </si>
  <si>
    <t>Pondération bases connues</t>
  </si>
  <si>
    <t xml:space="preserve">  Total =-&gt;</t>
  </si>
  <si>
    <t>Calcul taux retouche vernis</t>
  </si>
  <si>
    <t xml:space="preserve">Eléments de calcul apprets </t>
  </si>
  <si>
    <t>Appret Blanc 1</t>
  </si>
  <si>
    <t>Appret gris clair 2</t>
  </si>
  <si>
    <t>Appret gris moyen 3</t>
  </si>
  <si>
    <t>Appret gris foncé 4</t>
  </si>
  <si>
    <t>Calculs d'arlequin</t>
  </si>
  <si>
    <t>Consom KG sec/vt pondéré</t>
  </si>
  <si>
    <t>KG sec consom/VT</t>
  </si>
  <si>
    <t>KG sec consom / Vt</t>
  </si>
  <si>
    <t>Prix du l sec base pondéré</t>
  </si>
  <si>
    <t>Fr/ltsec</t>
  </si>
  <si>
    <t>Fr/lt sec</t>
  </si>
  <si>
    <t>Prix du l sec vernis pondéré</t>
  </si>
  <si>
    <t>Calcul masse déposée sur voiture</t>
  </si>
  <si>
    <t>Extérieurs voiture</t>
  </si>
  <si>
    <t>Intérieurs voiture</t>
  </si>
  <si>
    <t>Retouches totales</t>
  </si>
  <si>
    <t>KG de sec sur voiture</t>
  </si>
  <si>
    <t>KG de sec pondéré sur voit</t>
  </si>
  <si>
    <t>KG sec sur VT</t>
  </si>
  <si>
    <t>Kg de sec sur voiture</t>
  </si>
  <si>
    <t>607</t>
  </si>
  <si>
    <t>DVHL/PEI/LPPSX</t>
  </si>
  <si>
    <t>15.10.99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</si>
</sst>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_)"/>
    <numFmt numFmtId="173" formatCode="dd\-mmm\-yy_)"/>
    <numFmt numFmtId="174" formatCode="0.00_)"/>
    <numFmt numFmtId="175" formatCode="hh:mm_)"/>
    <numFmt numFmtId="176" formatCode="0.0_)"/>
    <numFmt numFmtId="177" formatCode="0_)"/>
    <numFmt numFmtId="178" formatCode="0.0000_)"/>
    <numFmt numFmtId="179" formatCode="_-* #,##0.0\ _F_-;\-* #,##0.0\ _F_-;_-* &quot;-&quot;??\ _F_-;_-@_-"/>
    <numFmt numFmtId="180" formatCode="_-* #,##0\ _F_-;\-* #,##0\ _F_-;_-* &quot;-&quot;??\ _F_-;_-@_-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2"/>
      <color indexed="12"/>
      <name val="Helv"/>
      <family val="0"/>
    </font>
    <font>
      <b/>
      <sz val="14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0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5" fillId="0" borderId="0" xfId="0" applyFont="1" applyAlignment="1" applyProtection="1">
      <alignment/>
      <protection locked="0"/>
    </xf>
    <xf numFmtId="174" fontId="0" fillId="0" borderId="0" xfId="0" applyNumberFormat="1" applyAlignment="1" applyProtection="1">
      <alignment/>
      <protection/>
    </xf>
    <xf numFmtId="172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4" fontId="5" fillId="0" borderId="0" xfId="0" applyNumberFormat="1" applyFont="1" applyAlignment="1" applyProtection="1">
      <alignment/>
      <protection locked="0"/>
    </xf>
    <xf numFmtId="174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4" fontId="0" fillId="0" borderId="1" xfId="0" applyNumberFormat="1" applyBorder="1" applyAlignment="1" applyProtection="1">
      <alignment/>
      <protection/>
    </xf>
    <xf numFmtId="172" fontId="0" fillId="0" borderId="2" xfId="0" applyBorder="1" applyAlignment="1">
      <alignment/>
    </xf>
    <xf numFmtId="172" fontId="0" fillId="0" borderId="3" xfId="0" applyBorder="1" applyAlignment="1">
      <alignment/>
    </xf>
    <xf numFmtId="172" fontId="0" fillId="0" borderId="4" xfId="0" applyBorder="1" applyAlignment="1">
      <alignment/>
    </xf>
    <xf numFmtId="172" fontId="0" fillId="0" borderId="5" xfId="0" applyBorder="1" applyAlignment="1">
      <alignment/>
    </xf>
    <xf numFmtId="172" fontId="0" fillId="0" borderId="6" xfId="0" applyBorder="1" applyAlignment="1">
      <alignment/>
    </xf>
    <xf numFmtId="172" fontId="0" fillId="0" borderId="1" xfId="0" applyBorder="1" applyAlignment="1">
      <alignment/>
    </xf>
    <xf numFmtId="172" fontId="0" fillId="0" borderId="7" xfId="0" applyBorder="1" applyAlignment="1">
      <alignment/>
    </xf>
    <xf numFmtId="172" fontId="0" fillId="0" borderId="8" xfId="0" applyBorder="1" applyAlignment="1">
      <alignment/>
    </xf>
    <xf numFmtId="172" fontId="0" fillId="0" borderId="9" xfId="0" applyBorder="1" applyAlignment="1">
      <alignment/>
    </xf>
    <xf numFmtId="172" fontId="0" fillId="0" borderId="10" xfId="0" applyBorder="1" applyAlignment="1">
      <alignment/>
    </xf>
    <xf numFmtId="172" fontId="6" fillId="0" borderId="5" xfId="0" applyFont="1" applyBorder="1" applyAlignment="1">
      <alignment/>
    </xf>
    <xf numFmtId="172" fontId="6" fillId="0" borderId="2" xfId="0" applyFont="1" applyBorder="1" applyAlignment="1">
      <alignment/>
    </xf>
    <xf numFmtId="172" fontId="6" fillId="0" borderId="0" xfId="0" applyFont="1" applyAlignment="1">
      <alignment/>
    </xf>
    <xf numFmtId="172" fontId="6" fillId="0" borderId="1" xfId="0" applyFont="1" applyBorder="1" applyAlignment="1">
      <alignment/>
    </xf>
    <xf numFmtId="172" fontId="6" fillId="0" borderId="7" xfId="0" applyFont="1" applyBorder="1" applyAlignment="1">
      <alignment/>
    </xf>
    <xf numFmtId="172" fontId="6" fillId="0" borderId="6" xfId="0" applyFont="1" applyBorder="1" applyAlignment="1">
      <alignment/>
    </xf>
    <xf numFmtId="172" fontId="6" fillId="0" borderId="3" xfId="0" applyFont="1" applyBorder="1" applyAlignment="1">
      <alignment/>
    </xf>
    <xf numFmtId="172" fontId="0" fillId="0" borderId="8" xfId="0" applyBorder="1" applyAlignment="1">
      <alignment horizontal="centerContinuous"/>
    </xf>
    <xf numFmtId="172" fontId="0" fillId="0" borderId="6" xfId="0" applyBorder="1" applyAlignment="1">
      <alignment horizontal="centerContinuous"/>
    </xf>
    <xf numFmtId="172" fontId="6" fillId="0" borderId="11" xfId="0" applyFont="1" applyBorder="1" applyAlignment="1">
      <alignment/>
    </xf>
    <xf numFmtId="172" fontId="6" fillId="0" borderId="11" xfId="0" applyFont="1" applyBorder="1" applyAlignment="1">
      <alignment horizontal="centerContinuous"/>
    </xf>
    <xf numFmtId="172" fontId="6" fillId="0" borderId="12" xfId="0" applyFont="1" applyBorder="1" applyAlignment="1">
      <alignment horizontal="centerContinuous"/>
    </xf>
    <xf numFmtId="172" fontId="7" fillId="0" borderId="0" xfId="0" applyFont="1" applyAlignment="1">
      <alignment/>
    </xf>
    <xf numFmtId="172" fontId="6" fillId="0" borderId="0" xfId="0" applyFont="1" applyAlignment="1" applyProtection="1">
      <alignment horizontal="left"/>
      <protection/>
    </xf>
    <xf numFmtId="172" fontId="7" fillId="0" borderId="0" xfId="0" applyFont="1" applyAlignment="1" applyProtection="1">
      <alignment horizontal="left"/>
      <protection/>
    </xf>
    <xf numFmtId="172" fontId="8" fillId="0" borderId="4" xfId="0" applyFont="1" applyBorder="1" applyAlignment="1" applyProtection="1">
      <alignment/>
      <protection locked="0"/>
    </xf>
    <xf numFmtId="172" fontId="8" fillId="0" borderId="6" xfId="0" applyFont="1" applyBorder="1" applyAlignment="1" applyProtection="1">
      <alignment/>
      <protection locked="0"/>
    </xf>
    <xf numFmtId="172" fontId="8" fillId="0" borderId="5" xfId="0" applyFont="1" applyBorder="1" applyAlignment="1" applyProtection="1">
      <alignment horizontal="left"/>
      <protection locked="0"/>
    </xf>
    <xf numFmtId="172" fontId="8" fillId="0" borderId="5" xfId="0" applyFont="1" applyBorder="1" applyAlignment="1" applyProtection="1">
      <alignment/>
      <protection locked="0"/>
    </xf>
    <xf numFmtId="172" fontId="8" fillId="0" borderId="4" xfId="0" applyFont="1" applyBorder="1" applyAlignment="1" applyProtection="1">
      <alignment horizontal="left"/>
      <protection locked="0"/>
    </xf>
    <xf numFmtId="172" fontId="8" fillId="0" borderId="0" xfId="0" applyFont="1" applyAlignment="1" applyProtection="1">
      <alignment/>
      <protection locked="0"/>
    </xf>
    <xf numFmtId="172" fontId="9" fillId="0" borderId="13" xfId="0" applyFont="1" applyBorder="1" applyAlignment="1" applyProtection="1">
      <alignment horizontal="left"/>
      <protection locked="0"/>
    </xf>
    <xf numFmtId="172" fontId="8" fillId="0" borderId="3" xfId="0" applyFont="1" applyBorder="1" applyAlignment="1" applyProtection="1">
      <alignment/>
      <protection locked="0"/>
    </xf>
    <xf numFmtId="172" fontId="8" fillId="0" borderId="2" xfId="0" applyFont="1" applyBorder="1" applyAlignment="1" applyProtection="1">
      <alignment horizontal="left"/>
      <protection locked="0"/>
    </xf>
    <xf numFmtId="174" fontId="6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/>
      <protection/>
    </xf>
    <xf numFmtId="172" fontId="8" fillId="0" borderId="1" xfId="0" applyFont="1" applyBorder="1" applyAlignment="1" applyProtection="1">
      <alignment/>
      <protection locked="0"/>
    </xf>
    <xf numFmtId="172" fontId="8" fillId="0" borderId="8" xfId="0" applyFont="1" applyBorder="1" applyAlignment="1" applyProtection="1">
      <alignment/>
      <protection locked="0"/>
    </xf>
    <xf numFmtId="172" fontId="6" fillId="0" borderId="7" xfId="0" applyFont="1" applyBorder="1" applyAlignment="1" applyProtection="1">
      <alignment horizontal="left"/>
      <protection/>
    </xf>
    <xf numFmtId="172" fontId="8" fillId="0" borderId="1" xfId="0" applyFont="1" applyBorder="1" applyAlignment="1" applyProtection="1">
      <alignment horizontal="left"/>
      <protection locked="0"/>
    </xf>
    <xf numFmtId="172" fontId="8" fillId="0" borderId="7" xfId="0" applyFont="1" applyBorder="1" applyAlignment="1" applyProtection="1">
      <alignment/>
      <protection locked="0"/>
    </xf>
    <xf numFmtId="172" fontId="6" fillId="0" borderId="1" xfId="0" applyFont="1" applyBorder="1" applyAlignment="1" applyProtection="1">
      <alignment horizontal="left"/>
      <protection/>
    </xf>
    <xf numFmtId="172" fontId="0" fillId="0" borderId="5" xfId="0" applyBorder="1" applyAlignment="1" applyProtection="1">
      <alignment horizontal="left"/>
      <protection/>
    </xf>
    <xf numFmtId="172" fontId="0" fillId="0" borderId="2" xfId="0" applyBorder="1" applyAlignment="1" applyProtection="1">
      <alignment horizontal="left"/>
      <protection/>
    </xf>
    <xf numFmtId="172" fontId="0" fillId="0" borderId="4" xfId="0" applyBorder="1" applyAlignment="1" applyProtection="1">
      <alignment horizontal="left"/>
      <protection/>
    </xf>
    <xf numFmtId="172" fontId="0" fillId="0" borderId="7" xfId="0" applyBorder="1" applyAlignment="1" applyProtection="1">
      <alignment horizontal="left"/>
      <protection/>
    </xf>
    <xf numFmtId="172" fontId="0" fillId="0" borderId="1" xfId="0" applyBorder="1" applyAlignment="1" applyProtection="1">
      <alignment horizontal="left"/>
      <protection/>
    </xf>
    <xf numFmtId="172" fontId="6" fillId="0" borderId="4" xfId="0" applyFont="1" applyBorder="1" applyAlignment="1" applyProtection="1">
      <alignment horizontal="left"/>
      <protection/>
    </xf>
    <xf numFmtId="172" fontId="8" fillId="0" borderId="2" xfId="0" applyFont="1" applyBorder="1" applyAlignment="1" applyProtection="1">
      <alignment/>
      <protection locked="0"/>
    </xf>
    <xf numFmtId="172" fontId="5" fillId="0" borderId="2" xfId="0" applyFont="1" applyBorder="1" applyAlignment="1" applyProtection="1">
      <alignment/>
      <protection locked="0"/>
    </xf>
    <xf numFmtId="172" fontId="0" fillId="0" borderId="2" xfId="0" applyBorder="1" applyAlignment="1" applyProtection="1">
      <alignment/>
      <protection/>
    </xf>
    <xf numFmtId="172" fontId="0" fillId="0" borderId="3" xfId="0" applyBorder="1" applyAlignment="1" applyProtection="1">
      <alignment horizontal="left"/>
      <protection/>
    </xf>
    <xf numFmtId="172" fontId="5" fillId="0" borderId="1" xfId="0" applyFont="1" applyBorder="1" applyAlignment="1" applyProtection="1">
      <alignment/>
      <protection locked="0"/>
    </xf>
    <xf numFmtId="172" fontId="5" fillId="0" borderId="4" xfId="0" applyFont="1" applyBorder="1" applyAlignment="1" applyProtection="1">
      <alignment/>
      <protection locked="0"/>
    </xf>
    <xf numFmtId="172" fontId="5" fillId="0" borderId="2" xfId="0" applyFont="1" applyBorder="1" applyAlignment="1" applyProtection="1">
      <alignment horizontal="left"/>
      <protection locked="0"/>
    </xf>
    <xf numFmtId="172" fontId="0" fillId="0" borderId="8" xfId="0" applyBorder="1" applyAlignment="1" applyProtection="1">
      <alignment horizontal="left"/>
      <protection/>
    </xf>
    <xf numFmtId="173" fontId="5" fillId="0" borderId="1" xfId="0" applyNumberFormat="1" applyFont="1" applyBorder="1" applyAlignment="1" applyProtection="1">
      <alignment/>
      <protection locked="0"/>
    </xf>
    <xf numFmtId="175" fontId="5" fillId="0" borderId="7" xfId="0" applyNumberFormat="1" applyFont="1" applyBorder="1" applyAlignment="1" applyProtection="1">
      <alignment/>
      <protection locked="0"/>
    </xf>
    <xf numFmtId="172" fontId="5" fillId="0" borderId="7" xfId="0" applyFont="1" applyBorder="1" applyAlignment="1" applyProtection="1">
      <alignment/>
      <protection locked="0"/>
    </xf>
    <xf numFmtId="174" fontId="0" fillId="0" borderId="3" xfId="0" applyNumberFormat="1" applyBorder="1" applyAlignment="1" applyProtection="1">
      <alignment/>
      <protection/>
    </xf>
    <xf numFmtId="174" fontId="0" fillId="0" borderId="2" xfId="0" applyNumberFormat="1" applyBorder="1" applyAlignment="1" applyProtection="1">
      <alignment/>
      <protection/>
    </xf>
    <xf numFmtId="172" fontId="0" fillId="0" borderId="7" xfId="0" applyBorder="1" applyAlignment="1" applyProtection="1">
      <alignment/>
      <protection/>
    </xf>
    <xf numFmtId="172" fontId="6" fillId="0" borderId="14" xfId="0" applyFont="1" applyBorder="1" applyAlignment="1" applyProtection="1">
      <alignment horizontal="center"/>
      <protection/>
    </xf>
    <xf numFmtId="172" fontId="6" fillId="0" borderId="14" xfId="0" applyFont="1" applyBorder="1" applyAlignment="1" applyProtection="1">
      <alignment horizontal="centerContinuous"/>
      <protection/>
    </xf>
    <xf numFmtId="172" fontId="6" fillId="0" borderId="15" xfId="0" applyFont="1" applyBorder="1" applyAlignment="1" applyProtection="1">
      <alignment horizontal="left"/>
      <protection/>
    </xf>
    <xf numFmtId="172" fontId="6" fillId="0" borderId="11" xfId="0" applyFont="1" applyBorder="1" applyAlignment="1" applyProtection="1">
      <alignment horizontal="centerContinuous"/>
      <protection/>
    </xf>
    <xf numFmtId="172" fontId="6" fillId="0" borderId="14" xfId="0" applyFont="1" applyBorder="1" applyAlignment="1" applyProtection="1">
      <alignment horizontal="left"/>
      <protection/>
    </xf>
    <xf numFmtId="172" fontId="0" fillId="0" borderId="16" xfId="0" applyBorder="1" applyAlignment="1" applyProtection="1">
      <alignment horizontal="left"/>
      <protection/>
    </xf>
    <xf numFmtId="172" fontId="5" fillId="0" borderId="4" xfId="0" applyFont="1" applyBorder="1" applyAlignment="1" applyProtection="1">
      <alignment horizontal="center"/>
      <protection locked="0"/>
    </xf>
    <xf numFmtId="172" fontId="5" fillId="0" borderId="16" xfId="0" applyFont="1" applyBorder="1" applyAlignment="1" applyProtection="1">
      <alignment horizontal="center"/>
      <protection locked="0"/>
    </xf>
    <xf numFmtId="172" fontId="5" fillId="0" borderId="5" xfId="0" applyFont="1" applyBorder="1" applyAlignment="1" applyProtection="1">
      <alignment horizontal="centerContinuous"/>
      <protection locked="0"/>
    </xf>
    <xf numFmtId="172" fontId="0" fillId="0" borderId="1" xfId="0" applyBorder="1" applyAlignment="1" applyProtection="1">
      <alignment horizontal="center"/>
      <protection/>
    </xf>
    <xf numFmtId="172" fontId="0" fillId="0" borderId="9" xfId="0" applyBorder="1" applyAlignment="1" applyProtection="1">
      <alignment horizontal="center"/>
      <protection/>
    </xf>
    <xf numFmtId="172" fontId="0" fillId="0" borderId="7" xfId="0" applyBorder="1" applyAlignment="1" applyProtection="1">
      <alignment horizontal="center"/>
      <protection/>
    </xf>
    <xf numFmtId="172" fontId="0" fillId="0" borderId="7" xfId="0" applyBorder="1" applyAlignment="1" applyProtection="1">
      <alignment horizontal="centerContinuous"/>
      <protection/>
    </xf>
    <xf numFmtId="174" fontId="5" fillId="0" borderId="2" xfId="0" applyNumberFormat="1" applyFont="1" applyBorder="1" applyAlignment="1" applyProtection="1">
      <alignment/>
      <protection locked="0"/>
    </xf>
    <xf numFmtId="174" fontId="0" fillId="0" borderId="17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172" fontId="0" fillId="0" borderId="18" xfId="0" applyBorder="1" applyAlignment="1" applyProtection="1">
      <alignment horizontal="center"/>
      <protection/>
    </xf>
    <xf numFmtId="177" fontId="0" fillId="0" borderId="18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4" fontId="0" fillId="0" borderId="9" xfId="0" applyNumberFormat="1" applyBorder="1" applyAlignment="1" applyProtection="1">
      <alignment/>
      <protection/>
    </xf>
    <xf numFmtId="172" fontId="0" fillId="0" borderId="5" xfId="0" applyBorder="1" applyAlignment="1" applyProtection="1">
      <alignment/>
      <protection/>
    </xf>
    <xf numFmtId="172" fontId="5" fillId="0" borderId="2" xfId="0" applyFont="1" applyBorder="1" applyAlignment="1" applyProtection="1" quotePrefix="1">
      <alignment horizontal="left"/>
      <protection locked="0"/>
    </xf>
    <xf numFmtId="172" fontId="0" fillId="0" borderId="0" xfId="0" applyAlignment="1" applyProtection="1" quotePrefix="1">
      <alignment horizontal="left"/>
      <protection/>
    </xf>
    <xf numFmtId="172" fontId="8" fillId="0" borderId="0" xfId="0" applyFont="1" applyBorder="1" applyAlignment="1" applyProtection="1">
      <alignment horizontal="left"/>
      <protection locked="0"/>
    </xf>
    <xf numFmtId="172" fontId="0" fillId="0" borderId="2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72" fontId="0" fillId="0" borderId="1" xfId="0" applyBorder="1" applyAlignment="1" applyProtection="1">
      <alignment/>
      <protection/>
    </xf>
    <xf numFmtId="173" fontId="5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 horizontal="left"/>
      <protection/>
    </xf>
    <xf numFmtId="172" fontId="6" fillId="0" borderId="18" xfId="0" applyFont="1" applyBorder="1" applyAlignment="1" applyProtection="1">
      <alignment horizontal="center"/>
      <protection/>
    </xf>
    <xf numFmtId="172" fontId="6" fillId="0" borderId="18" xfId="0" applyFont="1" applyBorder="1" applyAlignment="1" applyProtection="1">
      <alignment horizontal="left"/>
      <protection/>
    </xf>
    <xf numFmtId="172" fontId="6" fillId="0" borderId="18" xfId="0" applyFont="1" applyBorder="1" applyAlignment="1" applyProtection="1">
      <alignment horizontal="centerContinuous"/>
      <protection/>
    </xf>
    <xf numFmtId="172" fontId="6" fillId="0" borderId="20" xfId="0" applyFont="1" applyBorder="1" applyAlignment="1">
      <alignment horizontal="centerContinuous"/>
    </xf>
    <xf numFmtId="172" fontId="6" fillId="0" borderId="10" xfId="0" applyFont="1" applyBorder="1" applyAlignment="1">
      <alignment horizontal="centerContinuous"/>
    </xf>
    <xf numFmtId="172" fontId="6" fillId="0" borderId="21" xfId="0" applyFont="1" applyBorder="1" applyAlignment="1" applyProtection="1">
      <alignment horizontal="centerContinuous"/>
      <protection/>
    </xf>
    <xf numFmtId="172" fontId="0" fillId="0" borderId="4" xfId="0" applyBorder="1" applyAlignment="1" applyProtection="1">
      <alignment/>
      <protection/>
    </xf>
    <xf numFmtId="172" fontId="5" fillId="0" borderId="4" xfId="0" applyFont="1" applyBorder="1" applyAlignment="1" applyProtection="1">
      <alignment horizontal="left"/>
      <protection locked="0"/>
    </xf>
    <xf numFmtId="172" fontId="5" fillId="0" borderId="16" xfId="0" applyFont="1" applyBorder="1" applyAlignment="1" applyProtection="1">
      <alignment/>
      <protection locked="0"/>
    </xf>
    <xf numFmtId="172" fontId="5" fillId="0" borderId="22" xfId="0" applyFont="1" applyBorder="1" applyAlignment="1" applyProtection="1">
      <alignment/>
      <protection locked="0"/>
    </xf>
    <xf numFmtId="172" fontId="5" fillId="0" borderId="1" xfId="0" applyFont="1" applyBorder="1" applyAlignment="1" applyProtection="1">
      <alignment horizontal="left"/>
      <protection locked="0"/>
    </xf>
    <xf numFmtId="172" fontId="0" fillId="0" borderId="9" xfId="0" applyBorder="1" applyAlignment="1" applyProtection="1">
      <alignment/>
      <protection/>
    </xf>
    <xf numFmtId="172" fontId="0" fillId="0" borderId="23" xfId="0" applyBorder="1" applyAlignment="1" applyProtection="1">
      <alignment/>
      <protection/>
    </xf>
    <xf numFmtId="172" fontId="6" fillId="0" borderId="4" xfId="0" applyFont="1" applyBorder="1" applyAlignment="1">
      <alignment/>
    </xf>
    <xf numFmtId="172" fontId="5" fillId="0" borderId="5" xfId="0" applyFont="1" applyBorder="1" applyAlignment="1" applyProtection="1">
      <alignment/>
      <protection locked="0"/>
    </xf>
    <xf numFmtId="172" fontId="0" fillId="0" borderId="16" xfId="0" applyBorder="1" applyAlignment="1" applyProtection="1">
      <alignment/>
      <protection/>
    </xf>
    <xf numFmtId="172" fontId="0" fillId="0" borderId="22" xfId="0" applyBorder="1" applyAlignment="1" applyProtection="1">
      <alignment/>
      <protection/>
    </xf>
    <xf numFmtId="172" fontId="0" fillId="0" borderId="0" xfId="0" applyAlignment="1" applyProtection="1">
      <alignment horizontal="center"/>
      <protection/>
    </xf>
    <xf numFmtId="172" fontId="0" fillId="0" borderId="17" xfId="0" applyBorder="1" applyAlignment="1" applyProtection="1">
      <alignment/>
      <protection/>
    </xf>
    <xf numFmtId="172" fontId="0" fillId="0" borderId="24" xfId="0" applyBorder="1" applyAlignment="1" applyProtection="1">
      <alignment/>
      <protection/>
    </xf>
    <xf numFmtId="172" fontId="6" fillId="0" borderId="25" xfId="0" applyFont="1" applyBorder="1" applyAlignment="1" applyProtection="1">
      <alignment horizontal="center"/>
      <protection/>
    </xf>
    <xf numFmtId="172" fontId="6" fillId="0" borderId="25" xfId="0" applyFont="1" applyBorder="1" applyAlignment="1" applyProtection="1">
      <alignment horizontal="left"/>
      <protection/>
    </xf>
    <xf numFmtId="172" fontId="6" fillId="0" borderId="25" xfId="0" applyFont="1" applyBorder="1" applyAlignment="1" applyProtection="1">
      <alignment horizontal="centerContinuous"/>
      <protection/>
    </xf>
    <xf numFmtId="172" fontId="6" fillId="0" borderId="26" xfId="0" applyFont="1" applyBorder="1" applyAlignment="1">
      <alignment horizontal="centerContinuous"/>
    </xf>
    <xf numFmtId="172" fontId="6" fillId="0" borderId="27" xfId="0" applyFont="1" applyBorder="1" applyAlignment="1">
      <alignment horizontal="centerContinuous"/>
    </xf>
    <xf numFmtId="172" fontId="6" fillId="0" borderId="28" xfId="0" applyFont="1" applyBorder="1" applyAlignment="1" applyProtection="1">
      <alignment horizontal="centerContinuous"/>
      <protection/>
    </xf>
    <xf numFmtId="172" fontId="0" fillId="0" borderId="14" xfId="0" applyBorder="1" applyAlignment="1">
      <alignment/>
    </xf>
    <xf numFmtId="172" fontId="5" fillId="0" borderId="14" xfId="0" applyFont="1" applyBorder="1" applyAlignment="1" applyProtection="1">
      <alignment/>
      <protection locked="0"/>
    </xf>
    <xf numFmtId="172" fontId="5" fillId="0" borderId="15" xfId="0" applyFont="1" applyBorder="1" applyAlignment="1" applyProtection="1">
      <alignment/>
      <protection locked="0"/>
    </xf>
    <xf numFmtId="172" fontId="5" fillId="0" borderId="11" xfId="0" applyFont="1" applyBorder="1" applyAlignment="1" applyProtection="1">
      <alignment/>
      <protection locked="0"/>
    </xf>
    <xf numFmtId="172" fontId="0" fillId="0" borderId="15" xfId="0" applyBorder="1" applyAlignment="1">
      <alignment/>
    </xf>
    <xf numFmtId="172" fontId="5" fillId="0" borderId="17" xfId="0" applyFont="1" applyBorder="1" applyAlignment="1" applyProtection="1">
      <alignment/>
      <protection locked="0"/>
    </xf>
    <xf numFmtId="172" fontId="0" fillId="0" borderId="17" xfId="0" applyBorder="1" applyAlignment="1">
      <alignment/>
    </xf>
    <xf numFmtId="172" fontId="5" fillId="0" borderId="9" xfId="0" applyFont="1" applyBorder="1" applyAlignment="1" applyProtection="1">
      <alignment/>
      <protection locked="0"/>
    </xf>
    <xf numFmtId="172" fontId="9" fillId="0" borderId="2" xfId="0" applyFont="1" applyBorder="1" applyAlignment="1" applyProtection="1">
      <alignment horizontal="left"/>
      <protection locked="0"/>
    </xf>
    <xf numFmtId="178" fontId="5" fillId="0" borderId="0" xfId="0" applyNumberFormat="1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/>
    </xf>
    <xf numFmtId="172" fontId="5" fillId="0" borderId="5" xfId="0" applyFont="1" applyBorder="1" applyAlignment="1" applyProtection="1">
      <alignment horizontal="left"/>
      <protection locked="0"/>
    </xf>
    <xf numFmtId="172" fontId="5" fillId="0" borderId="0" xfId="0" applyFont="1" applyAlignment="1" applyProtection="1" quotePrefix="1">
      <alignment horizontal="left"/>
      <protection locked="0"/>
    </xf>
    <xf numFmtId="172" fontId="9" fillId="0" borderId="0" xfId="0" applyFont="1" applyAlignment="1" applyProtection="1">
      <alignment horizontal="left"/>
      <protection locked="0"/>
    </xf>
    <xf numFmtId="172" fontId="0" fillId="0" borderId="6" xfId="0" applyBorder="1" applyAlignment="1" applyProtection="1">
      <alignment horizontal="left"/>
      <protection/>
    </xf>
    <xf numFmtId="172" fontId="9" fillId="0" borderId="20" xfId="0" applyFont="1" applyBorder="1" applyAlignment="1" applyProtection="1">
      <alignment/>
      <protection locked="0"/>
    </xf>
    <xf numFmtId="172" fontId="0" fillId="0" borderId="20" xfId="0" applyBorder="1" applyAlignment="1">
      <alignment horizontal="centerContinuous"/>
    </xf>
    <xf numFmtId="172" fontId="0" fillId="0" borderId="10" xfId="0" applyBorder="1" applyAlignment="1">
      <alignment horizontal="centerContinuous"/>
    </xf>
    <xf numFmtId="172" fontId="6" fillId="0" borderId="20" xfId="0" applyFont="1" applyBorder="1" applyAlignment="1" applyProtection="1">
      <alignment horizontal="centerContinuous"/>
      <protection/>
    </xf>
    <xf numFmtId="172" fontId="6" fillId="0" borderId="0" xfId="0" applyFont="1" applyAlignment="1">
      <alignment horizontal="centerContinuous"/>
    </xf>
    <xf numFmtId="172" fontId="0" fillId="0" borderId="0" xfId="0" applyAlignment="1">
      <alignment horizontal="centerContinuous"/>
    </xf>
    <xf numFmtId="172" fontId="8" fillId="0" borderId="18" xfId="0" applyNumberFormat="1" applyFont="1" applyBorder="1" applyAlignment="1" applyProtection="1">
      <alignment/>
      <protection locked="0"/>
    </xf>
    <xf numFmtId="172" fontId="6" fillId="0" borderId="20" xfId="0" applyNumberFormat="1" applyFont="1" applyBorder="1" applyAlignment="1" applyProtection="1">
      <alignment horizontal="left"/>
      <protection/>
    </xf>
    <xf numFmtId="172" fontId="5" fillId="0" borderId="18" xfId="0" applyNumberFormat="1" applyFont="1" applyBorder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/>
      <protection/>
    </xf>
    <xf numFmtId="172" fontId="8" fillId="0" borderId="20" xfId="0" applyNumberFormat="1" applyFont="1" applyBorder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horizontal="left"/>
      <protection/>
    </xf>
    <xf numFmtId="172" fontId="6" fillId="0" borderId="4" xfId="0" applyNumberFormat="1" applyFont="1" applyBorder="1" applyAlignment="1" applyProtection="1">
      <alignment horizontal="left"/>
      <protection/>
    </xf>
    <xf numFmtId="172" fontId="0" fillId="0" borderId="5" xfId="0" applyNumberFormat="1" applyBorder="1" applyAlignment="1" applyProtection="1">
      <alignment/>
      <protection/>
    </xf>
    <xf numFmtId="172" fontId="0" fillId="2" borderId="4" xfId="0" applyNumberFormat="1" applyFill="1" applyBorder="1" applyAlignment="1" applyProtection="1">
      <alignment/>
      <protection/>
    </xf>
    <xf numFmtId="172" fontId="0" fillId="2" borderId="5" xfId="0" applyNumberFormat="1" applyFill="1" applyBorder="1" applyAlignment="1" applyProtection="1">
      <alignment/>
      <protection/>
    </xf>
    <xf numFmtId="172" fontId="5" fillId="2" borderId="5" xfId="0" applyNumberFormat="1" applyFont="1" applyFill="1" applyBorder="1" applyAlignment="1" applyProtection="1">
      <alignment horizontal="center"/>
      <protection locked="0"/>
    </xf>
    <xf numFmtId="172" fontId="0" fillId="2" borderId="6" xfId="0" applyNumberFormat="1" applyFill="1" applyBorder="1" applyAlignment="1" applyProtection="1">
      <alignment/>
      <protection/>
    </xf>
    <xf numFmtId="172" fontId="5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/>
    </xf>
    <xf numFmtId="172" fontId="6" fillId="0" borderId="18" xfId="0" applyNumberFormat="1" applyFont="1" applyBorder="1" applyAlignment="1" applyProtection="1">
      <alignment/>
      <protection/>
    </xf>
    <xf numFmtId="172" fontId="8" fillId="0" borderId="10" xfId="0" applyNumberFormat="1" applyFont="1" applyBorder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/>
    </xf>
    <xf numFmtId="172" fontId="6" fillId="0" borderId="19" xfId="0" applyNumberFormat="1" applyFont="1" applyBorder="1" applyAlignment="1" applyProtection="1">
      <alignment/>
      <protection/>
    </xf>
    <xf numFmtId="172" fontId="5" fillId="0" borderId="0" xfId="0" applyFont="1" applyAlignment="1" applyProtection="1">
      <alignment horizontal="left"/>
      <protection locked="0"/>
    </xf>
    <xf numFmtId="172" fontId="8" fillId="0" borderId="18" xfId="0" applyFont="1" applyBorder="1" applyAlignment="1" applyProtection="1">
      <alignment/>
      <protection locked="0"/>
    </xf>
    <xf numFmtId="172" fontId="6" fillId="0" borderId="20" xfId="0" applyFont="1" applyBorder="1" applyAlignment="1" applyProtection="1">
      <alignment horizontal="left"/>
      <protection/>
    </xf>
    <xf numFmtId="172" fontId="0" fillId="0" borderId="18" xfId="0" applyBorder="1" applyAlignment="1">
      <alignment/>
    </xf>
    <xf numFmtId="172" fontId="5" fillId="0" borderId="18" xfId="0" applyFont="1" applyBorder="1" applyAlignment="1" applyProtection="1">
      <alignment/>
      <protection locked="0"/>
    </xf>
    <xf numFmtId="172" fontId="8" fillId="0" borderId="20" xfId="0" applyFont="1" applyBorder="1" applyAlignment="1" applyProtection="1">
      <alignment/>
      <protection locked="0"/>
    </xf>
    <xf numFmtId="172" fontId="6" fillId="0" borderId="10" xfId="0" applyFont="1" applyBorder="1" applyAlignment="1" applyProtection="1">
      <alignment horizontal="left"/>
      <protection/>
    </xf>
    <xf numFmtId="172" fontId="0" fillId="2" borderId="1" xfId="0" applyFill="1" applyBorder="1" applyAlignment="1" applyProtection="1">
      <alignment horizontal="centerContinuous"/>
      <protection/>
    </xf>
    <xf numFmtId="172" fontId="0" fillId="2" borderId="7" xfId="0" applyFill="1" applyBorder="1" applyAlignment="1">
      <alignment horizontal="centerContinuous"/>
    </xf>
    <xf numFmtId="172" fontId="0" fillId="2" borderId="8" xfId="0" applyFill="1" applyBorder="1" applyAlignment="1" applyProtection="1">
      <alignment horizontal="left"/>
      <protection/>
    </xf>
    <xf numFmtId="172" fontId="6" fillId="0" borderId="18" xfId="0" applyFont="1" applyBorder="1" applyAlignment="1">
      <alignment/>
    </xf>
    <xf numFmtId="172" fontId="6" fillId="0" borderId="10" xfId="0" applyFont="1" applyBorder="1" applyAlignment="1">
      <alignment/>
    </xf>
    <xf numFmtId="172" fontId="8" fillId="0" borderId="10" xfId="0" applyFont="1" applyBorder="1" applyAlignment="1" applyProtection="1">
      <alignment/>
      <protection locked="0"/>
    </xf>
    <xf numFmtId="172" fontId="6" fillId="0" borderId="9" xfId="0" applyFont="1" applyBorder="1" applyAlignment="1" applyProtection="1">
      <alignment horizontal="centerContinuous"/>
      <protection/>
    </xf>
    <xf numFmtId="172" fontId="6" fillId="0" borderId="0" xfId="0" applyFont="1" applyAlignment="1" applyProtection="1">
      <alignment horizontal="centerContinuous"/>
      <protection/>
    </xf>
    <xf numFmtId="172" fontId="6" fillId="0" borderId="3" xfId="0" applyFont="1" applyBorder="1" applyAlignment="1">
      <alignment horizontal="centerContinuous"/>
    </xf>
    <xf numFmtId="172" fontId="0" fillId="0" borderId="20" xfId="0" applyBorder="1" applyAlignment="1">
      <alignment/>
    </xf>
    <xf numFmtId="172" fontId="6" fillId="0" borderId="20" xfId="0" applyFont="1" applyBorder="1" applyAlignment="1">
      <alignment/>
    </xf>
    <xf numFmtId="172" fontId="5" fillId="0" borderId="20" xfId="0" applyFont="1" applyBorder="1" applyAlignment="1" applyProtection="1">
      <alignment/>
      <protection locked="0"/>
    </xf>
    <xf numFmtId="173" fontId="8" fillId="0" borderId="10" xfId="0" applyNumberFormat="1" applyFont="1" applyBorder="1" applyAlignment="1" applyProtection="1">
      <alignment/>
      <protection locked="0"/>
    </xf>
    <xf numFmtId="173" fontId="6" fillId="0" borderId="18" xfId="0" applyNumberFormat="1" applyFont="1" applyBorder="1" applyAlignment="1" applyProtection="1">
      <alignment horizontal="centerContinuous"/>
      <protection/>
    </xf>
    <xf numFmtId="172" fontId="6" fillId="0" borderId="18" xfId="0" applyFont="1" applyBorder="1" applyAlignment="1" applyProtection="1">
      <alignment/>
      <protection/>
    </xf>
    <xf numFmtId="172" fontId="6" fillId="0" borderId="20" xfId="0" applyFont="1" applyBorder="1" applyAlignment="1" applyProtection="1">
      <alignment/>
      <protection/>
    </xf>
    <xf numFmtId="172" fontId="5" fillId="0" borderId="4" xfId="0" applyFont="1" applyBorder="1" applyAlignment="1" applyProtection="1">
      <alignment horizontal="centerContinuous"/>
      <protection locked="0"/>
    </xf>
    <xf numFmtId="172" fontId="5" fillId="0" borderId="6" xfId="0" applyFont="1" applyBorder="1" applyAlignment="1" applyProtection="1">
      <alignment/>
      <protection locked="0"/>
    </xf>
    <xf numFmtId="172" fontId="0" fillId="0" borderId="5" xfId="0" applyBorder="1" applyAlignment="1">
      <alignment horizontal="centerContinuous"/>
    </xf>
    <xf numFmtId="172" fontId="0" fillId="0" borderId="4" xfId="0" applyBorder="1" applyAlignment="1">
      <alignment horizontal="centerContinuous"/>
    </xf>
    <xf numFmtId="172" fontId="0" fillId="0" borderId="2" xfId="0" applyBorder="1" applyAlignment="1">
      <alignment horizontal="centerContinuous"/>
    </xf>
    <xf numFmtId="172" fontId="0" fillId="0" borderId="2" xfId="0" applyBorder="1" applyAlignment="1" applyProtection="1">
      <alignment horizontal="centerContinuous"/>
      <protection/>
    </xf>
    <xf numFmtId="172" fontId="0" fillId="0" borderId="3" xfId="0" applyBorder="1" applyAlignment="1">
      <alignment horizontal="centerContinuous"/>
    </xf>
    <xf numFmtId="172" fontId="0" fillId="0" borderId="0" xfId="0" applyAlignment="1" applyProtection="1">
      <alignment horizontal="centerContinuous"/>
      <protection/>
    </xf>
    <xf numFmtId="172" fontId="0" fillId="0" borderId="17" xfId="0" applyBorder="1" applyAlignment="1">
      <alignment horizontal="centerContinuous"/>
    </xf>
    <xf numFmtId="174" fontId="0" fillId="0" borderId="7" xfId="0" applyNumberFormat="1" applyBorder="1" applyAlignment="1" applyProtection="1">
      <alignment/>
      <protection/>
    </xf>
    <xf numFmtId="172" fontId="0" fillId="0" borderId="1" xfId="0" applyBorder="1" applyAlignment="1">
      <alignment horizontal="centerContinuous"/>
    </xf>
    <xf numFmtId="172" fontId="0" fillId="0" borderId="7" xfId="0" applyBorder="1" applyAlignment="1">
      <alignment horizontal="centerContinuous"/>
    </xf>
    <xf numFmtId="174" fontId="0" fillId="0" borderId="8" xfId="0" applyNumberFormat="1" applyBorder="1" applyAlignment="1" applyProtection="1">
      <alignment/>
      <protection/>
    </xf>
    <xf numFmtId="172" fontId="5" fillId="0" borderId="3" xfId="0" applyFont="1" applyBorder="1" applyAlignment="1" applyProtection="1">
      <alignment/>
      <protection locked="0"/>
    </xf>
    <xf numFmtId="172" fontId="0" fillId="0" borderId="16" xfId="0" applyBorder="1" applyAlignment="1">
      <alignment/>
    </xf>
    <xf numFmtId="172" fontId="5" fillId="0" borderId="17" xfId="0" applyFont="1" applyBorder="1" applyAlignment="1" applyProtection="1">
      <alignment horizontal="center"/>
      <protection locked="0"/>
    </xf>
    <xf numFmtId="172" fontId="5" fillId="0" borderId="0" xfId="0" applyFont="1" applyAlignment="1" applyProtection="1">
      <alignment horizontal="center"/>
      <protection locked="0"/>
    </xf>
    <xf numFmtId="172" fontId="5" fillId="0" borderId="2" xfId="0" applyFont="1" applyBorder="1" applyAlignment="1" applyProtection="1">
      <alignment horizontal="center"/>
      <protection locked="0"/>
    </xf>
    <xf numFmtId="172" fontId="5" fillId="0" borderId="3" xfId="0" applyFont="1" applyBorder="1" applyAlignment="1" applyProtection="1">
      <alignment horizontal="center"/>
      <protection locked="0"/>
    </xf>
    <xf numFmtId="172" fontId="5" fillId="0" borderId="17" xfId="0" applyFont="1" applyBorder="1" applyAlignment="1" applyProtection="1">
      <alignment horizontal="left"/>
      <protection locked="0"/>
    </xf>
    <xf numFmtId="177" fontId="5" fillId="0" borderId="3" xfId="0" applyNumberFormat="1" applyFont="1" applyBorder="1" applyAlignment="1" applyProtection="1">
      <alignment/>
      <protection locked="0"/>
    </xf>
    <xf numFmtId="177" fontId="5" fillId="0" borderId="9" xfId="0" applyNumberFormat="1" applyFont="1" applyBorder="1" applyAlignment="1" applyProtection="1">
      <alignment/>
      <protection locked="0"/>
    </xf>
    <xf numFmtId="177" fontId="5" fillId="0" borderId="7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7" fontId="5" fillId="0" borderId="8" xfId="0" applyNumberFormat="1" applyFont="1" applyBorder="1" applyAlignment="1" applyProtection="1">
      <alignment/>
      <protection locked="0"/>
    </xf>
    <xf numFmtId="172" fontId="5" fillId="2" borderId="18" xfId="0" applyFont="1" applyFill="1" applyBorder="1" applyAlignment="1" applyProtection="1">
      <alignment/>
      <protection locked="0"/>
    </xf>
    <xf numFmtId="172" fontId="0" fillId="2" borderId="19" xfId="0" applyFill="1" applyBorder="1" applyAlignment="1" applyProtection="1">
      <alignment/>
      <protection/>
    </xf>
    <xf numFmtId="172" fontId="6" fillId="2" borderId="20" xfId="0" applyFont="1" applyFill="1" applyBorder="1" applyAlignment="1" applyProtection="1">
      <alignment horizontal="left"/>
      <protection/>
    </xf>
    <xf numFmtId="172" fontId="0" fillId="2" borderId="20" xfId="0" applyFill="1" applyBorder="1" applyAlignment="1">
      <alignment/>
    </xf>
    <xf numFmtId="172" fontId="0" fillId="2" borderId="10" xfId="0" applyFill="1" applyBorder="1" applyAlignment="1">
      <alignment/>
    </xf>
    <xf numFmtId="177" fontId="0" fillId="2" borderId="18" xfId="0" applyNumberFormat="1" applyFill="1" applyBorder="1" applyAlignment="1" applyProtection="1">
      <alignment/>
      <protection/>
    </xf>
    <xf numFmtId="177" fontId="0" fillId="2" borderId="19" xfId="0" applyNumberFormat="1" applyFill="1" applyBorder="1" applyAlignment="1" applyProtection="1">
      <alignment/>
      <protection/>
    </xf>
    <xf numFmtId="177" fontId="0" fillId="2" borderId="20" xfId="0" applyNumberFormat="1" applyFill="1" applyBorder="1" applyAlignment="1" applyProtection="1">
      <alignment/>
      <protection/>
    </xf>
    <xf numFmtId="172" fontId="5" fillId="0" borderId="16" xfId="0" applyFont="1" applyBorder="1" applyAlignment="1" applyProtection="1">
      <alignment horizontal="left"/>
      <protection locked="0"/>
    </xf>
    <xf numFmtId="174" fontId="5" fillId="0" borderId="17" xfId="0" applyNumberFormat="1" applyFont="1" applyBorder="1" applyAlignment="1" applyProtection="1">
      <alignment/>
      <protection locked="0"/>
    </xf>
    <xf numFmtId="174" fontId="5" fillId="0" borderId="3" xfId="0" applyNumberFormat="1" applyFont="1" applyBorder="1" applyAlignment="1" applyProtection="1">
      <alignment/>
      <protection locked="0"/>
    </xf>
    <xf numFmtId="172" fontId="0" fillId="0" borderId="8" xfId="0" applyBorder="1" applyAlignment="1" applyProtection="1">
      <alignment/>
      <protection/>
    </xf>
    <xf numFmtId="172" fontId="5" fillId="0" borderId="3" xfId="0" applyFont="1" applyBorder="1" applyAlignment="1" applyProtection="1">
      <alignment horizontal="left"/>
      <protection locked="0"/>
    </xf>
    <xf numFmtId="172" fontId="5" fillId="0" borderId="17" xfId="0" applyNumberFormat="1" applyFont="1" applyBorder="1" applyAlignment="1" applyProtection="1">
      <alignment/>
      <protection locked="0"/>
    </xf>
    <xf numFmtId="172" fontId="5" fillId="0" borderId="2" xfId="0" applyNumberFormat="1" applyFont="1" applyBorder="1" applyAlignment="1" applyProtection="1">
      <alignment/>
      <protection locked="0"/>
    </xf>
    <xf numFmtId="172" fontId="5" fillId="0" borderId="3" xfId="0" applyNumberFormat="1" applyFont="1" applyBorder="1" applyAlignment="1" applyProtection="1">
      <alignment/>
      <protection locked="0"/>
    </xf>
    <xf numFmtId="174" fontId="5" fillId="0" borderId="9" xfId="0" applyNumberFormat="1" applyFont="1" applyBorder="1" applyAlignment="1" applyProtection="1">
      <alignment/>
      <protection locked="0"/>
    </xf>
    <xf numFmtId="174" fontId="5" fillId="0" borderId="7" xfId="0" applyNumberFormat="1" applyFont="1" applyBorder="1" applyAlignment="1" applyProtection="1">
      <alignment/>
      <protection locked="0"/>
    </xf>
    <xf numFmtId="174" fontId="5" fillId="0" borderId="8" xfId="0" applyNumberFormat="1" applyFont="1" applyBorder="1" applyAlignment="1" applyProtection="1">
      <alignment/>
      <protection locked="0"/>
    </xf>
    <xf numFmtId="174" fontId="5" fillId="0" borderId="1" xfId="0" applyNumberFormat="1" applyFont="1" applyBorder="1" applyAlignment="1" applyProtection="1">
      <alignment/>
      <protection locked="0"/>
    </xf>
    <xf numFmtId="172" fontId="0" fillId="0" borderId="3" xfId="0" applyBorder="1" applyAlignment="1" applyProtection="1">
      <alignment/>
      <protection/>
    </xf>
    <xf numFmtId="174" fontId="6" fillId="0" borderId="18" xfId="0" applyNumberFormat="1" applyFont="1" applyBorder="1" applyAlignment="1" applyProtection="1">
      <alignment/>
      <protection/>
    </xf>
    <xf numFmtId="174" fontId="5" fillId="0" borderId="16" xfId="0" applyNumberFormat="1" applyFont="1" applyBorder="1" applyAlignment="1" applyProtection="1">
      <alignment/>
      <protection locked="0"/>
    </xf>
    <xf numFmtId="174" fontId="5" fillId="0" borderId="5" xfId="0" applyNumberFormat="1" applyFont="1" applyBorder="1" applyAlignment="1" applyProtection="1">
      <alignment/>
      <protection locked="0"/>
    </xf>
    <xf numFmtId="174" fontId="5" fillId="0" borderId="4" xfId="0" applyNumberFormat="1" applyFont="1" applyBorder="1" applyAlignment="1" applyProtection="1">
      <alignment/>
      <protection locked="0"/>
    </xf>
    <xf numFmtId="174" fontId="5" fillId="0" borderId="6" xfId="0" applyNumberFormat="1" applyFont="1" applyBorder="1" applyAlignment="1" applyProtection="1">
      <alignment/>
      <protection locked="0"/>
    </xf>
    <xf numFmtId="174" fontId="0" fillId="0" borderId="18" xfId="0" applyNumberFormat="1" applyBorder="1" applyAlignment="1" applyProtection="1">
      <alignment/>
      <protection/>
    </xf>
    <xf numFmtId="174" fontId="0" fillId="0" borderId="20" xfId="0" applyNumberFormat="1" applyBorder="1" applyAlignment="1" applyProtection="1">
      <alignment horizontal="left"/>
      <protection/>
    </xf>
    <xf numFmtId="174" fontId="0" fillId="0" borderId="10" xfId="0" applyNumberFormat="1" applyBorder="1" applyAlignment="1" applyProtection="1">
      <alignment/>
      <protection/>
    </xf>
    <xf numFmtId="172" fontId="0" fillId="2" borderId="0" xfId="0" applyFill="1" applyAlignment="1" applyProtection="1">
      <alignment horizontal="left"/>
      <protection/>
    </xf>
    <xf numFmtId="172" fontId="5" fillId="2" borderId="17" xfId="0" applyNumberFormat="1" applyFont="1" applyFill="1" applyBorder="1" applyAlignment="1" applyProtection="1">
      <alignment/>
      <protection locked="0"/>
    </xf>
    <xf numFmtId="172" fontId="5" fillId="2" borderId="0" xfId="0" applyNumberFormat="1" applyFont="1" applyFill="1" applyAlignment="1" applyProtection="1">
      <alignment/>
      <protection locked="0"/>
    </xf>
    <xf numFmtId="172" fontId="5" fillId="2" borderId="2" xfId="0" applyNumberFormat="1" applyFont="1" applyFill="1" applyBorder="1" applyAlignment="1" applyProtection="1">
      <alignment/>
      <protection locked="0"/>
    </xf>
    <xf numFmtId="172" fontId="5" fillId="2" borderId="3" xfId="0" applyNumberFormat="1" applyFont="1" applyFill="1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 horizontal="left"/>
      <protection/>
    </xf>
    <xf numFmtId="174" fontId="0" fillId="0" borderId="20" xfId="0" applyNumberFormat="1" applyBorder="1" applyAlignment="1" applyProtection="1">
      <alignment/>
      <protection/>
    </xf>
    <xf numFmtId="172" fontId="5" fillId="2" borderId="2" xfId="0" applyFont="1" applyFill="1" applyBorder="1" applyAlignment="1" applyProtection="1">
      <alignment/>
      <protection locked="0"/>
    </xf>
    <xf numFmtId="172" fontId="5" fillId="2" borderId="17" xfId="0" applyFont="1" applyFill="1" applyBorder="1" applyAlignment="1" applyProtection="1">
      <alignment/>
      <protection locked="0"/>
    </xf>
    <xf numFmtId="172" fontId="5" fillId="2" borderId="0" xfId="0" applyFont="1" applyFill="1" applyAlignment="1" applyProtection="1">
      <alignment/>
      <protection locked="0"/>
    </xf>
    <xf numFmtId="172" fontId="6" fillId="0" borderId="4" xfId="0" applyFont="1" applyBorder="1" applyAlignment="1" applyProtection="1">
      <alignment horizontal="centerContinuous"/>
      <protection/>
    </xf>
    <xf numFmtId="174" fontId="0" fillId="0" borderId="3" xfId="0" applyNumberFormat="1" applyBorder="1" applyAlignment="1" applyProtection="1">
      <alignment horizontal="left"/>
      <protection/>
    </xf>
    <xf numFmtId="174" fontId="0" fillId="0" borderId="4" xfId="0" applyNumberFormat="1" applyBorder="1" applyAlignment="1" applyProtection="1">
      <alignment/>
      <protection/>
    </xf>
    <xf numFmtId="174" fontId="6" fillId="0" borderId="5" xfId="0" applyNumberFormat="1" applyFont="1" applyBorder="1" applyAlignment="1" applyProtection="1">
      <alignment/>
      <protection/>
    </xf>
    <xf numFmtId="174" fontId="0" fillId="0" borderId="6" xfId="0" applyNumberFormat="1" applyBorder="1" applyAlignment="1" applyProtection="1">
      <alignment/>
      <protection/>
    </xf>
    <xf numFmtId="174" fontId="0" fillId="0" borderId="29" xfId="0" applyNumberFormat="1" applyBorder="1" applyAlignment="1" applyProtection="1">
      <alignment/>
      <protection/>
    </xf>
    <xf numFmtId="174" fontId="0" fillId="0" borderId="30" xfId="0" applyNumberFormat="1" applyBorder="1" applyAlignment="1" applyProtection="1">
      <alignment/>
      <protection/>
    </xf>
    <xf numFmtId="174" fontId="0" fillId="0" borderId="31" xfId="0" applyNumberFormat="1" applyBorder="1" applyAlignment="1" applyProtection="1">
      <alignment/>
      <protection/>
    </xf>
    <xf numFmtId="174" fontId="0" fillId="0" borderId="32" xfId="0" applyNumberFormat="1" applyBorder="1" applyAlignment="1" applyProtection="1">
      <alignment/>
      <protection/>
    </xf>
    <xf numFmtId="174" fontId="0" fillId="0" borderId="33" xfId="0" applyNumberFormat="1" applyBorder="1" applyAlignment="1" applyProtection="1">
      <alignment/>
      <protection/>
    </xf>
    <xf numFmtId="174" fontId="0" fillId="0" borderId="34" xfId="0" applyNumberFormat="1" applyBorder="1" applyAlignment="1" applyProtection="1">
      <alignment/>
      <protection/>
    </xf>
    <xf numFmtId="174" fontId="6" fillId="0" borderId="2" xfId="0" applyNumberFormat="1" applyFont="1" applyBorder="1" applyAlignment="1" applyProtection="1">
      <alignment horizontal="centerContinuous"/>
      <protection/>
    </xf>
    <xf numFmtId="174" fontId="6" fillId="0" borderId="20" xfId="0" applyNumberFormat="1" applyFont="1" applyBorder="1" applyAlignment="1" applyProtection="1">
      <alignment horizontal="left"/>
      <protection/>
    </xf>
    <xf numFmtId="174" fontId="6" fillId="0" borderId="4" xfId="0" applyNumberFormat="1" applyFont="1" applyBorder="1" applyAlignment="1" applyProtection="1">
      <alignment horizontal="centerContinuous"/>
      <protection/>
    </xf>
    <xf numFmtId="174" fontId="0" fillId="0" borderId="5" xfId="0" applyNumberFormat="1" applyBorder="1" applyAlignment="1" applyProtection="1">
      <alignment/>
      <protection/>
    </xf>
    <xf numFmtId="174" fontId="6" fillId="0" borderId="2" xfId="0" applyNumberFormat="1" applyFont="1" applyBorder="1" applyAlignment="1" applyProtection="1">
      <alignment/>
      <protection/>
    </xf>
    <xf numFmtId="174" fontId="6" fillId="0" borderId="3" xfId="0" applyNumberFormat="1" applyFont="1" applyBorder="1" applyAlignment="1" applyProtection="1">
      <alignment horizontal="left"/>
      <protection/>
    </xf>
    <xf numFmtId="172" fontId="8" fillId="0" borderId="18" xfId="0" applyFont="1" applyBorder="1" applyAlignment="1" applyProtection="1">
      <alignment horizontal="left"/>
      <protection locked="0"/>
    </xf>
    <xf numFmtId="174" fontId="5" fillId="0" borderId="19" xfId="0" applyNumberFormat="1" applyFont="1" applyBorder="1" applyAlignment="1" applyProtection="1">
      <alignment/>
      <protection locked="0"/>
    </xf>
    <xf numFmtId="174" fontId="5" fillId="0" borderId="20" xfId="0" applyNumberFormat="1" applyFont="1" applyBorder="1" applyAlignment="1" applyProtection="1">
      <alignment/>
      <protection locked="0"/>
    </xf>
    <xf numFmtId="174" fontId="5" fillId="0" borderId="18" xfId="0" applyNumberFormat="1" applyFont="1" applyBorder="1" applyAlignment="1" applyProtection="1">
      <alignment/>
      <protection locked="0"/>
    </xf>
    <xf numFmtId="174" fontId="5" fillId="0" borderId="10" xfId="0" applyNumberFormat="1" applyFont="1" applyBorder="1" applyAlignment="1" applyProtection="1">
      <alignment/>
      <protection locked="0"/>
    </xf>
    <xf numFmtId="172" fontId="6" fillId="0" borderId="19" xfId="0" applyFont="1" applyBorder="1" applyAlignment="1" applyProtection="1">
      <alignment/>
      <protection/>
    </xf>
    <xf numFmtId="172" fontId="5" fillId="0" borderId="0" xfId="0" applyFont="1" applyAlignment="1">
      <alignment/>
    </xf>
    <xf numFmtId="172" fontId="0" fillId="0" borderId="17" xfId="0" applyBorder="1" applyAlignment="1" applyProtection="1">
      <alignment horizontal="left"/>
      <protection/>
    </xf>
    <xf numFmtId="172" fontId="6" fillId="0" borderId="17" xfId="0" applyFont="1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172" fontId="5" fillId="0" borderId="5" xfId="0" applyNumberFormat="1" applyFont="1" applyBorder="1" applyAlignment="1" applyProtection="1">
      <alignment/>
      <protection locked="0"/>
    </xf>
    <xf numFmtId="172" fontId="5" fillId="0" borderId="16" xfId="0" applyNumberFormat="1" applyFont="1" applyBorder="1" applyAlignment="1" applyProtection="1">
      <alignment/>
      <protection locked="0"/>
    </xf>
    <xf numFmtId="172" fontId="6" fillId="0" borderId="17" xfId="0" applyFont="1" applyBorder="1" applyAlignment="1" applyProtection="1">
      <alignment horizontal="center"/>
      <protection/>
    </xf>
    <xf numFmtId="178" fontId="0" fillId="0" borderId="2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172" fontId="6" fillId="0" borderId="3" xfId="0" applyFont="1" applyBorder="1" applyAlignment="1" applyProtection="1">
      <alignment horizontal="left"/>
      <protection/>
    </xf>
    <xf numFmtId="172" fontId="0" fillId="0" borderId="19" xfId="0" applyBorder="1" applyAlignment="1" applyProtection="1">
      <alignment/>
      <protection/>
    </xf>
    <xf numFmtId="172" fontId="0" fillId="0" borderId="20" xfId="0" applyBorder="1" applyAlignment="1" applyProtection="1">
      <alignment/>
      <protection/>
    </xf>
    <xf numFmtId="172" fontId="0" fillId="0" borderId="18" xfId="0" applyBorder="1" applyAlignment="1" applyProtection="1">
      <alignment/>
      <protection/>
    </xf>
    <xf numFmtId="172" fontId="0" fillId="0" borderId="10" xfId="0" applyBorder="1" applyAlignment="1" applyProtection="1">
      <alignment/>
      <protection/>
    </xf>
    <xf numFmtId="174" fontId="6" fillId="0" borderId="18" xfId="0" applyNumberFormat="1" applyFont="1" applyBorder="1" applyAlignment="1" applyProtection="1">
      <alignment horizontal="left"/>
      <protection/>
    </xf>
    <xf numFmtId="172" fontId="0" fillId="0" borderId="10" xfId="0" applyBorder="1" applyAlignment="1" applyProtection="1">
      <alignment horizontal="left"/>
      <protection/>
    </xf>
    <xf numFmtId="174" fontId="0" fillId="0" borderId="4" xfId="0" applyNumberFormat="1" applyBorder="1" applyAlignment="1" applyProtection="1">
      <alignment horizontal="left"/>
      <protection/>
    </xf>
    <xf numFmtId="174" fontId="0" fillId="0" borderId="1" xfId="0" applyNumberFormat="1" applyBorder="1" applyAlignment="1" applyProtection="1">
      <alignment horizontal="left"/>
      <protection/>
    </xf>
    <xf numFmtId="174" fontId="6" fillId="0" borderId="7" xfId="0" applyNumberFormat="1" applyFont="1" applyBorder="1" applyAlignment="1" applyProtection="1">
      <alignment/>
      <protection/>
    </xf>
    <xf numFmtId="174" fontId="6" fillId="0" borderId="9" xfId="0" applyNumberFormat="1" applyFont="1" applyBorder="1" applyAlignment="1" applyProtection="1">
      <alignment/>
      <protection/>
    </xf>
    <xf numFmtId="174" fontId="6" fillId="0" borderId="2" xfId="0" applyNumberFormat="1" applyFont="1" applyBorder="1" applyAlignment="1" applyProtection="1">
      <alignment horizontal="left"/>
      <protection/>
    </xf>
    <xf numFmtId="174" fontId="6" fillId="0" borderId="0" xfId="0" applyNumberFormat="1" applyFont="1" applyAlignment="1" applyProtection="1">
      <alignment horizontal="left"/>
      <protection/>
    </xf>
    <xf numFmtId="172" fontId="0" fillId="0" borderId="6" xfId="0" applyBorder="1" applyAlignment="1" applyProtection="1">
      <alignment/>
      <protection/>
    </xf>
    <xf numFmtId="172" fontId="6" fillId="0" borderId="3" xfId="0" applyFont="1" applyBorder="1" applyAlignment="1" applyProtection="1">
      <alignment/>
      <protection/>
    </xf>
    <xf numFmtId="172" fontId="6" fillId="0" borderId="1" xfId="0" applyFont="1" applyBorder="1" applyAlignment="1" applyProtection="1">
      <alignment/>
      <protection/>
    </xf>
    <xf numFmtId="172" fontId="6" fillId="0" borderId="8" xfId="0" applyFont="1" applyBorder="1" applyAlignment="1" applyProtection="1">
      <alignment/>
      <protection/>
    </xf>
    <xf numFmtId="174" fontId="6" fillId="0" borderId="19" xfId="0" applyNumberFormat="1" applyFont="1" applyBorder="1" applyAlignment="1" applyProtection="1">
      <alignment/>
      <protection/>
    </xf>
    <xf numFmtId="172" fontId="8" fillId="0" borderId="0" xfId="0" applyFont="1" applyAlignment="1" applyProtection="1">
      <alignment horizontal="left"/>
      <protection locked="0"/>
    </xf>
    <xf numFmtId="172" fontId="5" fillId="0" borderId="19" xfId="0" applyFont="1" applyBorder="1" applyAlignment="1" applyProtection="1">
      <alignment/>
      <protection locked="0"/>
    </xf>
    <xf numFmtId="172" fontId="5" fillId="0" borderId="7" xfId="0" applyFont="1" applyBorder="1" applyAlignment="1" applyProtection="1">
      <alignment horizontal="left"/>
      <protection locked="0"/>
    </xf>
    <xf numFmtId="172" fontId="5" fillId="0" borderId="8" xfId="0" applyFont="1" applyBorder="1" applyAlignment="1" applyProtection="1">
      <alignment/>
      <protection locked="0"/>
    </xf>
    <xf numFmtId="172" fontId="5" fillId="0" borderId="20" xfId="0" applyFont="1" applyBorder="1" applyAlignment="1" applyProtection="1">
      <alignment horizontal="left"/>
      <protection locked="0"/>
    </xf>
    <xf numFmtId="172" fontId="5" fillId="0" borderId="10" xfId="0" applyFont="1" applyBorder="1" applyAlignment="1" applyProtection="1">
      <alignment/>
      <protection locked="0"/>
    </xf>
    <xf numFmtId="177" fontId="5" fillId="0" borderId="2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10"/>
  <sheetViews>
    <sheetView showGridLines="0" zoomScale="50" zoomScaleNormal="50" workbookViewId="0" topLeftCell="A1">
      <selection activeCell="A2" sqref="A2"/>
    </sheetView>
  </sheetViews>
  <sheetFormatPr defaultColWidth="9.77734375" defaultRowHeight="15.75"/>
  <cols>
    <col min="1" max="1" width="9.77734375" style="0" customWidth="1"/>
    <col min="2" max="9" width="7.77734375" style="0" customWidth="1"/>
    <col min="10" max="10" width="5.77734375" style="0" customWidth="1"/>
    <col min="11" max="11" width="2.77734375" style="0" customWidth="1"/>
    <col min="12" max="18" width="7.77734375" style="0" customWidth="1"/>
    <col min="19" max="19" width="2.77734375" style="0" customWidth="1"/>
    <col min="20" max="26" width="7.77734375" style="0" customWidth="1"/>
    <col min="27" max="33" width="8.77734375" style="0" customWidth="1"/>
  </cols>
  <sheetData>
    <row r="1" ht="15.75">
      <c r="A1" s="35" t="s">
        <v>0</v>
      </c>
    </row>
    <row r="2" spans="1:13" ht="19.5">
      <c r="A2" s="2">
        <f ca="1">TRUNC(NOW())</f>
        <v>42721</v>
      </c>
      <c r="B2" s="1" t="s">
        <v>1</v>
      </c>
      <c r="G2" s="34"/>
      <c r="M2" s="36" t="s">
        <v>2</v>
      </c>
    </row>
    <row r="3" spans="1:2" ht="15.75">
      <c r="A3" s="103" t="s">
        <v>389</v>
      </c>
      <c r="B3" s="1" t="s">
        <v>3</v>
      </c>
    </row>
    <row r="5" spans="1:256" ht="15.75">
      <c r="A5" s="37"/>
      <c r="B5" s="38"/>
      <c r="C5" s="39" t="s">
        <v>4</v>
      </c>
      <c r="D5" s="40"/>
      <c r="E5" s="40"/>
      <c r="F5" s="40"/>
      <c r="G5" s="41" t="s">
        <v>5</v>
      </c>
      <c r="H5" s="40"/>
      <c r="I5" s="38"/>
      <c r="J5" s="42"/>
      <c r="K5" s="42"/>
      <c r="L5" s="41" t="s">
        <v>4</v>
      </c>
      <c r="M5" s="40"/>
      <c r="N5" s="40"/>
      <c r="O5" s="40"/>
      <c r="P5" s="41" t="s">
        <v>5</v>
      </c>
      <c r="Q5" s="40"/>
      <c r="R5" s="38"/>
      <c r="S5" s="42"/>
      <c r="T5" s="41" t="s">
        <v>4</v>
      </c>
      <c r="U5" s="40"/>
      <c r="V5" s="40"/>
      <c r="W5" s="40"/>
      <c r="X5" s="41" t="s">
        <v>5</v>
      </c>
      <c r="Y5" s="40"/>
      <c r="Z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6" ht="19.5">
      <c r="A6" s="144" t="s">
        <v>6</v>
      </c>
      <c r="B6" s="44"/>
      <c r="C6" s="35" t="s">
        <v>7</v>
      </c>
      <c r="D6" s="24"/>
      <c r="E6" s="24"/>
      <c r="F6" s="24"/>
      <c r="G6" s="45" t="s">
        <v>8</v>
      </c>
      <c r="H6" s="42"/>
      <c r="I6" s="44"/>
      <c r="J6" s="46"/>
      <c r="K6" s="24"/>
      <c r="L6" s="47" t="s">
        <v>7</v>
      </c>
      <c r="M6" s="24"/>
      <c r="N6" s="24"/>
      <c r="O6" s="24"/>
      <c r="P6" s="45" t="s">
        <v>9</v>
      </c>
      <c r="Q6" s="42"/>
      <c r="R6" s="44"/>
      <c r="S6" s="24"/>
      <c r="T6" s="47" t="s">
        <v>7</v>
      </c>
      <c r="U6" s="24"/>
      <c r="V6" s="24"/>
      <c r="W6" s="24"/>
      <c r="X6" s="45" t="s">
        <v>9</v>
      </c>
      <c r="Y6" s="42"/>
      <c r="Z6" s="28"/>
    </row>
    <row r="7" spans="1:26" ht="15.75">
      <c r="A7" s="48"/>
      <c r="B7" s="49"/>
      <c r="C7" s="50" t="s">
        <v>10</v>
      </c>
      <c r="D7" s="26"/>
      <c r="E7" s="26"/>
      <c r="F7" s="26"/>
      <c r="G7" s="51" t="s">
        <v>11</v>
      </c>
      <c r="H7" s="52"/>
      <c r="I7" s="49"/>
      <c r="J7" s="24"/>
      <c r="K7" s="24"/>
      <c r="L7" s="53" t="s">
        <v>10</v>
      </c>
      <c r="M7" s="26"/>
      <c r="N7" s="26"/>
      <c r="O7" s="26"/>
      <c r="P7" s="51" t="s">
        <v>11</v>
      </c>
      <c r="Q7" s="52"/>
      <c r="R7" s="49"/>
      <c r="S7" s="24"/>
      <c r="T7" s="47" t="s">
        <v>10</v>
      </c>
      <c r="U7" s="24"/>
      <c r="V7" s="24"/>
      <c r="W7" s="24"/>
      <c r="X7" s="45" t="s">
        <v>11</v>
      </c>
      <c r="Y7" s="42"/>
      <c r="Z7" s="28"/>
    </row>
    <row r="8" spans="1:26" ht="15.75">
      <c r="A8" s="14"/>
      <c r="B8" s="15"/>
      <c r="C8" s="54" t="s">
        <v>12</v>
      </c>
      <c r="D8" s="15"/>
      <c r="E8" s="15"/>
      <c r="F8" s="15"/>
      <c r="G8" s="15"/>
      <c r="H8" s="41" t="s">
        <v>13</v>
      </c>
      <c r="I8" s="16"/>
      <c r="L8" s="55" t="s">
        <v>12</v>
      </c>
      <c r="Q8" s="45" t="s">
        <v>13</v>
      </c>
      <c r="R8" s="13"/>
      <c r="T8" s="56" t="s">
        <v>12</v>
      </c>
      <c r="U8" s="15"/>
      <c r="V8" s="15"/>
      <c r="W8" s="15"/>
      <c r="X8" s="15"/>
      <c r="Y8" s="41" t="s">
        <v>13</v>
      </c>
      <c r="Z8" s="16"/>
    </row>
    <row r="9" spans="1:26" ht="15.75">
      <c r="A9" s="17"/>
      <c r="B9" s="18"/>
      <c r="C9" s="57" t="s">
        <v>14</v>
      </c>
      <c r="D9" s="18"/>
      <c r="E9" s="18"/>
      <c r="F9" s="18"/>
      <c r="G9" s="18"/>
      <c r="H9" s="51" t="s">
        <v>15</v>
      </c>
      <c r="I9" s="19"/>
      <c r="L9" s="58" t="s">
        <v>14</v>
      </c>
      <c r="M9" s="18"/>
      <c r="N9" s="18"/>
      <c r="O9" s="18"/>
      <c r="P9" s="18"/>
      <c r="Q9" s="51" t="s">
        <v>15</v>
      </c>
      <c r="R9" s="19"/>
      <c r="T9" s="58" t="s">
        <v>14</v>
      </c>
      <c r="U9" s="18"/>
      <c r="V9" s="18"/>
      <c r="W9" s="18"/>
      <c r="X9" s="18"/>
      <c r="Y9" s="51" t="s">
        <v>15</v>
      </c>
      <c r="Z9" s="19"/>
    </row>
    <row r="10" spans="1:26" ht="15.75">
      <c r="A10" s="59" t="s">
        <v>16</v>
      </c>
      <c r="B10" s="22"/>
      <c r="C10" s="15"/>
      <c r="D10" s="15"/>
      <c r="E10" s="15"/>
      <c r="F10" s="15"/>
      <c r="G10" s="15"/>
      <c r="H10" s="14"/>
      <c r="I10" s="16"/>
      <c r="L10" s="47" t="s">
        <v>16</v>
      </c>
      <c r="M10" s="24"/>
      <c r="N10" s="24"/>
      <c r="O10" s="24"/>
      <c r="P10" s="24"/>
      <c r="Q10" s="60"/>
      <c r="R10" s="28"/>
      <c r="S10" s="24"/>
      <c r="T10" s="47" t="s">
        <v>16</v>
      </c>
      <c r="U10" s="24"/>
      <c r="Y10" s="61"/>
      <c r="Z10" s="13"/>
    </row>
    <row r="11" spans="1:26" ht="15.75">
      <c r="A11" s="23"/>
      <c r="B11" s="24"/>
      <c r="C11" s="1" t="s">
        <v>17</v>
      </c>
      <c r="H11" s="62">
        <f>IF(H9="O",0.985,0.9)</f>
        <v>0.985</v>
      </c>
      <c r="I11" s="13"/>
      <c r="L11" s="55" t="s">
        <v>17</v>
      </c>
      <c r="Q11" s="62">
        <f>IF(Q9="O",0.985,0.9)</f>
        <v>0.985</v>
      </c>
      <c r="R11" s="13"/>
      <c r="T11" s="55" t="s">
        <v>17</v>
      </c>
      <c r="Y11" s="62">
        <f>IF(Y9="O",0.985,0.9)</f>
        <v>0.985</v>
      </c>
      <c r="Z11" s="13"/>
    </row>
    <row r="12" spans="1:26" ht="15.75">
      <c r="A12" s="23"/>
      <c r="B12" s="35" t="s">
        <v>18</v>
      </c>
      <c r="H12" s="61"/>
      <c r="I12" s="13"/>
      <c r="L12" s="47" t="s">
        <v>18</v>
      </c>
      <c r="M12" s="24"/>
      <c r="N12" s="24"/>
      <c r="O12" s="24"/>
      <c r="P12" s="24"/>
      <c r="Q12" s="60"/>
      <c r="R12" s="28"/>
      <c r="S12" s="24"/>
      <c r="T12" s="47" t="s">
        <v>18</v>
      </c>
      <c r="Y12" s="61"/>
      <c r="Z12" s="13"/>
    </row>
    <row r="13" spans="1:26" ht="15.75">
      <c r="A13" s="23"/>
      <c r="B13" s="24"/>
      <c r="C13" s="1" t="s">
        <v>19</v>
      </c>
      <c r="H13" s="61">
        <v>1.39</v>
      </c>
      <c r="I13" s="13"/>
      <c r="L13" s="55" t="s">
        <v>19</v>
      </c>
      <c r="Q13" s="61">
        <v>1.054</v>
      </c>
      <c r="R13" s="13"/>
      <c r="T13" s="55" t="s">
        <v>19</v>
      </c>
      <c r="Y13" s="61">
        <v>1.054</v>
      </c>
      <c r="Z13" s="13"/>
    </row>
    <row r="14" spans="1:26" ht="15.75">
      <c r="A14" s="23"/>
      <c r="B14" s="24"/>
      <c r="C14" s="1" t="s">
        <v>20</v>
      </c>
      <c r="H14" s="61">
        <v>53.9</v>
      </c>
      <c r="I14" s="63" t="s">
        <v>21</v>
      </c>
      <c r="L14" s="55" t="s">
        <v>20</v>
      </c>
      <c r="Q14" s="61">
        <v>39.6</v>
      </c>
      <c r="R14" s="63" t="s">
        <v>21</v>
      </c>
      <c r="T14" s="55" t="s">
        <v>20</v>
      </c>
      <c r="Y14" s="61">
        <v>39.6</v>
      </c>
      <c r="Z14" s="63" t="s">
        <v>21</v>
      </c>
    </row>
    <row r="15" spans="1:26" ht="15.75">
      <c r="A15" s="23"/>
      <c r="B15" s="24"/>
      <c r="C15" s="1" t="s">
        <v>22</v>
      </c>
      <c r="H15" s="61"/>
      <c r="I15" s="63" t="s">
        <v>21</v>
      </c>
      <c r="L15" s="55" t="s">
        <v>22</v>
      </c>
      <c r="Q15" s="61"/>
      <c r="R15" s="63" t="s">
        <v>21</v>
      </c>
      <c r="T15" s="55" t="s">
        <v>22</v>
      </c>
      <c r="Y15" s="61"/>
      <c r="Z15" s="63" t="s">
        <v>21</v>
      </c>
    </row>
    <row r="16" spans="1:26" ht="15.75">
      <c r="A16" s="23"/>
      <c r="B16" s="24"/>
      <c r="C16" s="1" t="s">
        <v>23</v>
      </c>
      <c r="H16" s="61">
        <v>16.95</v>
      </c>
      <c r="I16" s="13"/>
      <c r="L16" s="55" t="s">
        <v>23</v>
      </c>
      <c r="Q16" s="61">
        <v>18.85</v>
      </c>
      <c r="R16" s="13"/>
      <c r="T16" s="55" t="s">
        <v>23</v>
      </c>
      <c r="Y16" s="61">
        <v>18.85</v>
      </c>
      <c r="Z16" s="13"/>
    </row>
    <row r="17" spans="1:26" ht="15.75">
      <c r="A17" s="23"/>
      <c r="B17" s="24"/>
      <c r="C17" s="1" t="s">
        <v>24</v>
      </c>
      <c r="H17" s="61">
        <v>1.85</v>
      </c>
      <c r="I17" s="13"/>
      <c r="L17" s="55" t="s">
        <v>24</v>
      </c>
      <c r="Q17" s="61">
        <v>1.85</v>
      </c>
      <c r="R17" s="13"/>
      <c r="T17" s="55" t="s">
        <v>24</v>
      </c>
      <c r="Y17" s="61">
        <v>1.85</v>
      </c>
      <c r="Z17" s="13"/>
    </row>
    <row r="18" spans="1:26" ht="15.75">
      <c r="A18" s="23"/>
      <c r="B18" s="24"/>
      <c r="C18" s="1" t="s">
        <v>25</v>
      </c>
      <c r="H18" s="61">
        <f>H16+H17</f>
        <v>18.8</v>
      </c>
      <c r="I18" s="63" t="s">
        <v>26</v>
      </c>
      <c r="L18" s="55" t="s">
        <v>25</v>
      </c>
      <c r="Q18" s="61">
        <f>Q16+Q17</f>
        <v>20.700000000000003</v>
      </c>
      <c r="R18" s="63" t="s">
        <v>26</v>
      </c>
      <c r="T18" s="55" t="s">
        <v>25</v>
      </c>
      <c r="Y18" s="61">
        <f>Y16+Y17</f>
        <v>20.700000000000003</v>
      </c>
      <c r="Z18" s="63" t="s">
        <v>26</v>
      </c>
    </row>
    <row r="19" spans="1:26" ht="15.75">
      <c r="A19" s="23"/>
      <c r="B19" s="24"/>
      <c r="H19" s="61"/>
      <c r="I19" s="13"/>
      <c r="L19" s="12"/>
      <c r="Q19" s="61"/>
      <c r="R19" s="13"/>
      <c r="T19" s="12"/>
      <c r="Y19" s="61"/>
      <c r="Z19" s="13"/>
    </row>
    <row r="20" spans="1:26" ht="15.75">
      <c r="A20" s="23"/>
      <c r="B20" s="35" t="s">
        <v>27</v>
      </c>
      <c r="H20" s="61"/>
      <c r="I20" s="13"/>
      <c r="L20" s="47" t="s">
        <v>27</v>
      </c>
      <c r="M20" s="24"/>
      <c r="N20" s="24"/>
      <c r="O20" s="24"/>
      <c r="P20" s="24"/>
      <c r="Q20" s="60"/>
      <c r="R20" s="13"/>
      <c r="S20" s="24"/>
      <c r="T20" s="47" t="s">
        <v>27</v>
      </c>
      <c r="Y20" s="60"/>
      <c r="Z20" s="13"/>
    </row>
    <row r="21" spans="1:26" ht="15.75">
      <c r="A21" s="23"/>
      <c r="B21" s="24"/>
      <c r="C21" s="1" t="s">
        <v>19</v>
      </c>
      <c r="H21" s="61">
        <v>1.06</v>
      </c>
      <c r="I21" s="13"/>
      <c r="L21" s="55" t="s">
        <v>19</v>
      </c>
      <c r="Q21" s="61">
        <v>1.498</v>
      </c>
      <c r="R21" s="13"/>
      <c r="T21" s="55" t="s">
        <v>19</v>
      </c>
      <c r="Y21" s="61">
        <v>1.498</v>
      </c>
      <c r="Z21" s="13"/>
    </row>
    <row r="22" spans="1:26" ht="15.75">
      <c r="A22" s="23"/>
      <c r="B22" s="24"/>
      <c r="C22" s="1" t="s">
        <v>20</v>
      </c>
      <c r="H22" s="61">
        <v>36</v>
      </c>
      <c r="I22" s="63" t="s">
        <v>21</v>
      </c>
      <c r="L22" s="55" t="s">
        <v>20</v>
      </c>
      <c r="Q22" s="61">
        <v>50.5</v>
      </c>
      <c r="R22" s="63" t="s">
        <v>21</v>
      </c>
      <c r="T22" s="55" t="s">
        <v>20</v>
      </c>
      <c r="Y22" s="61">
        <v>50.5</v>
      </c>
      <c r="Z22" s="63" t="s">
        <v>21</v>
      </c>
    </row>
    <row r="23" spans="1:26" ht="15.75">
      <c r="A23" s="23"/>
      <c r="B23" s="24"/>
      <c r="C23" s="1" t="s">
        <v>22</v>
      </c>
      <c r="H23" s="61"/>
      <c r="I23" s="63" t="s">
        <v>21</v>
      </c>
      <c r="L23" s="55" t="s">
        <v>22</v>
      </c>
      <c r="Q23" s="61"/>
      <c r="R23" s="63" t="s">
        <v>21</v>
      </c>
      <c r="T23" s="55" t="s">
        <v>22</v>
      </c>
      <c r="Y23" s="61"/>
      <c r="Z23" s="63" t="s">
        <v>21</v>
      </c>
    </row>
    <row r="24" spans="1:26" ht="15.75">
      <c r="A24" s="23"/>
      <c r="B24" s="24"/>
      <c r="C24" s="1" t="s">
        <v>23</v>
      </c>
      <c r="H24" s="61">
        <v>23.87</v>
      </c>
      <c r="I24" s="63" t="s">
        <v>26</v>
      </c>
      <c r="L24" s="55" t="s">
        <v>23</v>
      </c>
      <c r="Q24" s="61">
        <v>21.95</v>
      </c>
      <c r="R24" s="63" t="s">
        <v>26</v>
      </c>
      <c r="T24" s="55" t="s">
        <v>23</v>
      </c>
      <c r="Y24" s="61">
        <v>21.95</v>
      </c>
      <c r="Z24" s="63" t="s">
        <v>26</v>
      </c>
    </row>
    <row r="25" spans="1:26" ht="15.75">
      <c r="A25" s="23"/>
      <c r="B25" s="24"/>
      <c r="C25" s="1" t="s">
        <v>28</v>
      </c>
      <c r="H25" s="61">
        <f>IF(H24=0,"",H24+H17)</f>
        <v>25.720000000000002</v>
      </c>
      <c r="I25" s="63" t="s">
        <v>26</v>
      </c>
      <c r="L25" s="55" t="s">
        <v>28</v>
      </c>
      <c r="Q25" s="61">
        <f>IF(Q24=0,"",Q24+Q17)</f>
        <v>23.8</v>
      </c>
      <c r="R25" s="63" t="s">
        <v>26</v>
      </c>
      <c r="T25" s="55" t="s">
        <v>28</v>
      </c>
      <c r="Y25" s="61">
        <f>IF(Y24=0,"",Y24+Y17)</f>
        <v>23.8</v>
      </c>
      <c r="Z25" s="63" t="s">
        <v>26</v>
      </c>
    </row>
    <row r="26" spans="1:26" ht="15.75">
      <c r="A26" s="23"/>
      <c r="B26" s="24"/>
      <c r="H26" s="61"/>
      <c r="I26" s="13"/>
      <c r="L26" s="12"/>
      <c r="Q26" s="61"/>
      <c r="R26" s="13"/>
      <c r="T26" s="12"/>
      <c r="Y26" s="61"/>
      <c r="Z26" s="13"/>
    </row>
    <row r="27" spans="1:26" ht="15.75">
      <c r="A27" s="23"/>
      <c r="B27" s="24"/>
      <c r="C27" s="1" t="s">
        <v>29</v>
      </c>
      <c r="H27" s="61"/>
      <c r="I27" s="13"/>
      <c r="L27" s="1" t="s">
        <v>29</v>
      </c>
      <c r="Q27" s="61"/>
      <c r="R27" s="13"/>
      <c r="T27" s="1" t="s">
        <v>29</v>
      </c>
      <c r="Y27" s="61"/>
      <c r="Z27" s="13"/>
    </row>
    <row r="28" spans="1:26" ht="15.75">
      <c r="A28" s="25"/>
      <c r="B28" s="26"/>
      <c r="C28" s="57" t="s">
        <v>30</v>
      </c>
      <c r="D28" s="18"/>
      <c r="E28" s="18"/>
      <c r="F28" s="18"/>
      <c r="G28" s="18"/>
      <c r="H28" s="64">
        <v>5</v>
      </c>
      <c r="I28" s="19"/>
      <c r="L28" s="58" t="s">
        <v>30</v>
      </c>
      <c r="M28" s="18"/>
      <c r="N28" s="18"/>
      <c r="O28" s="18"/>
      <c r="P28" s="18"/>
      <c r="Q28" s="64">
        <v>1.677</v>
      </c>
      <c r="R28" s="19"/>
      <c r="T28" s="58" t="s">
        <v>30</v>
      </c>
      <c r="U28" s="18"/>
      <c r="V28" s="18"/>
      <c r="W28" s="18"/>
      <c r="X28" s="18"/>
      <c r="Y28" s="64">
        <v>1.677</v>
      </c>
      <c r="Z28" s="19"/>
    </row>
    <row r="29" spans="1:26" ht="15.75">
      <c r="A29" s="59" t="s">
        <v>31</v>
      </c>
      <c r="B29" s="22"/>
      <c r="C29" s="15"/>
      <c r="D29" s="15"/>
      <c r="E29" s="15"/>
      <c r="F29" s="15"/>
      <c r="G29" s="15"/>
      <c r="H29" s="65"/>
      <c r="I29" s="16"/>
      <c r="L29" s="47" t="s">
        <v>31</v>
      </c>
      <c r="M29" s="24"/>
      <c r="N29" s="24"/>
      <c r="O29" s="24"/>
      <c r="P29" s="24"/>
      <c r="Q29" s="60"/>
      <c r="R29" s="13"/>
      <c r="S29" s="24"/>
      <c r="T29" s="47" t="s">
        <v>31</v>
      </c>
      <c r="U29" s="24"/>
      <c r="Y29" s="61"/>
      <c r="Z29" s="13"/>
    </row>
    <row r="30" spans="1:26" ht="15.75">
      <c r="A30" s="23"/>
      <c r="B30" s="35" t="s">
        <v>32</v>
      </c>
      <c r="H30" s="61"/>
      <c r="I30" s="13"/>
      <c r="L30" s="47" t="s">
        <v>32</v>
      </c>
      <c r="N30" s="24"/>
      <c r="O30" s="24"/>
      <c r="P30" s="24"/>
      <c r="Q30" s="61"/>
      <c r="R30" s="13"/>
      <c r="S30" s="24"/>
      <c r="T30" s="47" t="s">
        <v>32</v>
      </c>
      <c r="Y30" s="61"/>
      <c r="Z30" s="13"/>
    </row>
    <row r="31" spans="1:26" ht="15.75">
      <c r="A31" s="23"/>
      <c r="B31" s="24"/>
      <c r="C31" s="1" t="s">
        <v>33</v>
      </c>
      <c r="H31" s="61"/>
      <c r="I31" s="63" t="s">
        <v>21</v>
      </c>
      <c r="L31" s="23"/>
      <c r="M31" s="1" t="s">
        <v>33</v>
      </c>
      <c r="Q31" s="61"/>
      <c r="R31" s="63" t="s">
        <v>21</v>
      </c>
      <c r="T31" s="23"/>
      <c r="U31" s="1" t="s">
        <v>33</v>
      </c>
      <c r="Y31" s="61"/>
      <c r="Z31" s="63" t="s">
        <v>21</v>
      </c>
    </row>
    <row r="32" spans="1:26" ht="15.75">
      <c r="A32" s="23"/>
      <c r="B32" s="24"/>
      <c r="C32" s="1" t="s">
        <v>34</v>
      </c>
      <c r="H32" s="61"/>
      <c r="I32" s="63" t="s">
        <v>21</v>
      </c>
      <c r="L32" s="23"/>
      <c r="M32" s="1" t="s">
        <v>34</v>
      </c>
      <c r="Q32" s="61"/>
      <c r="R32" s="63" t="s">
        <v>21</v>
      </c>
      <c r="T32" s="23"/>
      <c r="U32" s="1" t="s">
        <v>34</v>
      </c>
      <c r="Y32" s="61"/>
      <c r="Z32" s="63" t="s">
        <v>21</v>
      </c>
    </row>
    <row r="33" spans="1:26" ht="15.75">
      <c r="A33" s="23"/>
      <c r="B33" s="24"/>
      <c r="C33" s="1" t="s">
        <v>35</v>
      </c>
      <c r="H33" s="61"/>
      <c r="I33" s="13"/>
      <c r="L33" s="23"/>
      <c r="M33" s="1" t="s">
        <v>35</v>
      </c>
      <c r="Q33" s="61"/>
      <c r="R33" s="13"/>
      <c r="T33" s="23"/>
      <c r="U33" s="1" t="s">
        <v>35</v>
      </c>
      <c r="Y33" s="61"/>
      <c r="Z33" s="13"/>
    </row>
    <row r="34" spans="1:26" ht="15.75">
      <c r="A34" s="23"/>
      <c r="B34" s="24"/>
      <c r="C34" s="1" t="s">
        <v>36</v>
      </c>
      <c r="H34" s="61"/>
      <c r="I34" s="63" t="s">
        <v>37</v>
      </c>
      <c r="L34" s="23"/>
      <c r="M34" s="1" t="s">
        <v>36</v>
      </c>
      <c r="Q34" s="61"/>
      <c r="R34" s="63" t="s">
        <v>37</v>
      </c>
      <c r="T34" s="23"/>
      <c r="U34" s="1" t="s">
        <v>36</v>
      </c>
      <c r="Y34" s="61"/>
      <c r="Z34" s="63" t="s">
        <v>37</v>
      </c>
    </row>
    <row r="35" spans="1:26" ht="15.75">
      <c r="A35" s="23"/>
      <c r="B35" s="24"/>
      <c r="C35" s="1" t="s">
        <v>38</v>
      </c>
      <c r="H35" s="61"/>
      <c r="I35" s="63" t="s">
        <v>26</v>
      </c>
      <c r="L35" s="23"/>
      <c r="M35" s="1" t="s">
        <v>38</v>
      </c>
      <c r="Q35" s="61"/>
      <c r="R35" s="63" t="s">
        <v>26</v>
      </c>
      <c r="T35" s="23"/>
      <c r="U35" s="1" t="s">
        <v>38</v>
      </c>
      <c r="Y35" s="61"/>
      <c r="Z35" s="63" t="s">
        <v>26</v>
      </c>
    </row>
    <row r="36" spans="1:26" ht="15.75">
      <c r="A36" s="23"/>
      <c r="B36" s="35" t="s">
        <v>39</v>
      </c>
      <c r="H36" s="61"/>
      <c r="I36" s="13"/>
      <c r="L36" s="47" t="s">
        <v>39</v>
      </c>
      <c r="N36" s="24"/>
      <c r="O36" s="24"/>
      <c r="Q36" s="61"/>
      <c r="R36" s="13"/>
      <c r="T36" s="47" t="s">
        <v>39</v>
      </c>
      <c r="Y36" s="61"/>
      <c r="Z36" s="13"/>
    </row>
    <row r="37" spans="1:26" ht="15.75">
      <c r="A37" s="23"/>
      <c r="B37" s="24"/>
      <c r="C37" s="1" t="s">
        <v>33</v>
      </c>
      <c r="H37" s="61"/>
      <c r="I37" s="63" t="s">
        <v>21</v>
      </c>
      <c r="L37" s="23"/>
      <c r="M37" s="1" t="s">
        <v>33</v>
      </c>
      <c r="Q37" s="61"/>
      <c r="R37" s="63" t="s">
        <v>21</v>
      </c>
      <c r="T37" s="23"/>
      <c r="U37" s="1" t="s">
        <v>33</v>
      </c>
      <c r="Y37" s="61"/>
      <c r="Z37" s="63" t="s">
        <v>21</v>
      </c>
    </row>
    <row r="38" spans="1:26" ht="15.75">
      <c r="A38" s="23"/>
      <c r="B38" s="24"/>
      <c r="C38" s="1" t="s">
        <v>34</v>
      </c>
      <c r="H38" s="61"/>
      <c r="I38" s="63" t="s">
        <v>21</v>
      </c>
      <c r="L38" s="23"/>
      <c r="M38" s="1" t="s">
        <v>34</v>
      </c>
      <c r="Q38" s="61"/>
      <c r="R38" s="63" t="s">
        <v>21</v>
      </c>
      <c r="T38" s="23"/>
      <c r="U38" s="1" t="s">
        <v>34</v>
      </c>
      <c r="Y38" s="61"/>
      <c r="Z38" s="63" t="s">
        <v>21</v>
      </c>
    </row>
    <row r="39" spans="1:26" ht="15.75">
      <c r="A39" s="23"/>
      <c r="B39" s="24"/>
      <c r="C39" s="1" t="s">
        <v>35</v>
      </c>
      <c r="H39" s="61"/>
      <c r="I39" s="13"/>
      <c r="L39" s="23"/>
      <c r="M39" s="1" t="s">
        <v>35</v>
      </c>
      <c r="Q39" s="61"/>
      <c r="R39" s="13"/>
      <c r="T39" s="23"/>
      <c r="U39" s="1" t="s">
        <v>35</v>
      </c>
      <c r="Y39" s="61"/>
      <c r="Z39" s="13"/>
    </row>
    <row r="40" spans="1:26" ht="15.75">
      <c r="A40" s="23"/>
      <c r="B40" s="24"/>
      <c r="C40" s="1" t="s">
        <v>36</v>
      </c>
      <c r="H40" s="61"/>
      <c r="I40" s="63" t="s">
        <v>37</v>
      </c>
      <c r="L40" s="23"/>
      <c r="M40" s="1" t="s">
        <v>36</v>
      </c>
      <c r="Q40" s="61"/>
      <c r="R40" s="63" t="s">
        <v>37</v>
      </c>
      <c r="T40" s="23"/>
      <c r="U40" s="1" t="s">
        <v>36</v>
      </c>
      <c r="Y40" s="61"/>
      <c r="Z40" s="63" t="s">
        <v>37</v>
      </c>
    </row>
    <row r="41" spans="1:26" ht="15.75">
      <c r="A41" s="23"/>
      <c r="B41" s="24"/>
      <c r="C41" s="1" t="s">
        <v>38</v>
      </c>
      <c r="H41" s="61"/>
      <c r="I41" s="63" t="s">
        <v>26</v>
      </c>
      <c r="L41" s="23"/>
      <c r="M41" s="1" t="s">
        <v>38</v>
      </c>
      <c r="Q41" s="61"/>
      <c r="R41" s="1" t="s">
        <v>26</v>
      </c>
      <c r="S41" s="12"/>
      <c r="T41" s="25"/>
      <c r="U41" s="57" t="s">
        <v>38</v>
      </c>
      <c r="V41" s="18"/>
      <c r="W41" s="18"/>
      <c r="X41" s="18"/>
      <c r="Y41" s="64"/>
      <c r="Z41" s="67" t="s">
        <v>26</v>
      </c>
    </row>
    <row r="42" spans="1:26" ht="15.75">
      <c r="A42" s="59" t="s">
        <v>40</v>
      </c>
      <c r="B42" s="22"/>
      <c r="C42" s="15"/>
      <c r="D42" s="15"/>
      <c r="E42" s="15"/>
      <c r="F42" s="15"/>
      <c r="G42" s="15"/>
      <c r="H42" s="65"/>
      <c r="I42" s="16"/>
      <c r="L42" s="59" t="s">
        <v>40</v>
      </c>
      <c r="M42" s="22"/>
      <c r="N42" s="15"/>
      <c r="O42" s="15"/>
      <c r="P42" s="15"/>
      <c r="Q42" s="14"/>
      <c r="R42" s="15"/>
      <c r="S42" s="12"/>
      <c r="T42" s="47" t="s">
        <v>40</v>
      </c>
      <c r="U42" s="24"/>
      <c r="Y42" s="12"/>
      <c r="Z42" s="13"/>
    </row>
    <row r="43" spans="1:26" ht="15.75">
      <c r="A43" s="23"/>
      <c r="B43" s="24"/>
      <c r="C43" s="1" t="s">
        <v>41</v>
      </c>
      <c r="H43" s="62">
        <f>IF(H$8="M"," ",IF(H27=0,H28,+H27*H13/H21))</f>
        <v>5</v>
      </c>
      <c r="I43" s="13"/>
      <c r="L43" s="55" t="s">
        <v>41</v>
      </c>
      <c r="Q43" s="62">
        <f>IF(Q$8="M"," ",IF(Q27=0,Q28,+Q27*Q13/Q21))</f>
        <v>1.677</v>
      </c>
      <c r="R43" s="13"/>
      <c r="T43" s="55" t="s">
        <v>41</v>
      </c>
      <c r="Y43" s="62">
        <f>IF(Y$8="M"," ",IF(Y27=0,Y28,+Y27*Y13/Y21))</f>
        <v>1.677</v>
      </c>
      <c r="Z43" s="13"/>
    </row>
    <row r="44" spans="1:26" ht="15.75">
      <c r="A44" s="23"/>
      <c r="B44" s="24"/>
      <c r="C44" s="1" t="s">
        <v>42</v>
      </c>
      <c r="H44" s="62">
        <f>IF(H8="M"," ",IF(H28=0,H27,H28*H21/H13))</f>
        <v>3.8129496402877705</v>
      </c>
      <c r="I44" s="13"/>
      <c r="L44" s="55" t="s">
        <v>42</v>
      </c>
      <c r="Q44" s="62">
        <f>IF(Q8="M"," ",IF(Q28=0,Q27,Q28*Q21/Q13))</f>
        <v>2.383440227703985</v>
      </c>
      <c r="R44" s="13"/>
      <c r="T44" s="55" t="s">
        <v>42</v>
      </c>
      <c r="Y44" s="62">
        <f>IF(Y8="M"," ",IF(Y28=0,Y27,Y28*Y21/Y13))</f>
        <v>2.383440227703985</v>
      </c>
      <c r="Z44" s="13"/>
    </row>
    <row r="45" spans="1:26" ht="15.75">
      <c r="A45" s="23"/>
      <c r="B45" s="24"/>
      <c r="C45" s="1" t="s">
        <v>43</v>
      </c>
      <c r="H45" s="62">
        <f>IF(H8="M"," ",(H21+(H13*H44))*H13/(H43*H21+H13))</f>
        <v>1.3214349775784753</v>
      </c>
      <c r="I45" s="13"/>
      <c r="L45" s="55" t="s">
        <v>43</v>
      </c>
      <c r="Q45" s="62">
        <f>IF(Q8="M"," ",(Q21+(Q13*Q44))*Q13/(Q43*Q21+Q13))</f>
        <v>1.1852273810438498</v>
      </c>
      <c r="R45" s="13"/>
      <c r="T45" s="55" t="s">
        <v>43</v>
      </c>
      <c r="Y45" s="62">
        <f>IF(Y8="M"," ",(Y21+(Y13*Y44))*Y13/(Y43*Y21+Y13))</f>
        <v>1.1852273810438498</v>
      </c>
      <c r="Z45" s="13"/>
    </row>
    <row r="46" spans="1:26" ht="15.75">
      <c r="A46" s="23"/>
      <c r="B46" s="24"/>
      <c r="C46" s="1" t="s">
        <v>44</v>
      </c>
      <c r="H46" s="62">
        <f>IF(H$8="M"," ",(H22+(H14*H43))/(1+H43))</f>
        <v>50.916666666666664</v>
      </c>
      <c r="I46" s="63" t="s">
        <v>21</v>
      </c>
      <c r="L46" s="55" t="s">
        <v>44</v>
      </c>
      <c r="Q46" s="62">
        <f>IF(Q$8="M"," ",(Q22+(Q14*Q43))/(1+Q43))</f>
        <v>43.67172207695181</v>
      </c>
      <c r="R46" s="63" t="s">
        <v>21</v>
      </c>
      <c r="T46" s="55" t="s">
        <v>44</v>
      </c>
      <c r="Y46" s="62">
        <f>IF(Y$8="M"," ",(Y22+(Y14*Y43))/(1+Y43))</f>
        <v>43.67172207695181</v>
      </c>
      <c r="Z46" s="63" t="s">
        <v>21</v>
      </c>
    </row>
    <row r="47" spans="1:26" ht="15.75">
      <c r="A47" s="23"/>
      <c r="B47" s="24"/>
      <c r="C47" s="1" t="s">
        <v>45</v>
      </c>
      <c r="H47" s="62">
        <f>IF(H$8="M",100-H13*(100-H14)/H11,100-H45*(100-H46)/H11)</f>
        <v>34.15184417988816</v>
      </c>
      <c r="I47" s="63" t="s">
        <v>21</v>
      </c>
      <c r="L47" s="55" t="s">
        <v>45</v>
      </c>
      <c r="Q47" s="62">
        <f>IF(Q$8="M",100-Q13*(100-Q14)/Q11,100-Q45*(100-Q46)/Q11)</f>
        <v>32.22150525741674</v>
      </c>
      <c r="R47" s="63" t="s">
        <v>21</v>
      </c>
      <c r="T47" s="55" t="s">
        <v>45</v>
      </c>
      <c r="Y47" s="62">
        <f>IF(Y$8="M",100-Y13*(100-Y14)/Y11,100-Y45*(100-Y46)/Y11)</f>
        <v>32.22150525741674</v>
      </c>
      <c r="Z47" s="63" t="s">
        <v>21</v>
      </c>
    </row>
    <row r="48" spans="1:26" ht="15.75">
      <c r="A48" s="23"/>
      <c r="B48" s="24"/>
      <c r="C48" s="1" t="s">
        <v>46</v>
      </c>
      <c r="H48" s="62">
        <f>IF(H$8="M",H13*H14/H47,H46*H45/H47)</f>
        <v>1.9701151106404966</v>
      </c>
      <c r="I48" s="13"/>
      <c r="L48" s="55" t="s">
        <v>46</v>
      </c>
      <c r="Q48" s="62">
        <f>IF(Q$8="M",Q13*Q14/Q47,Q46*Q45/Q47)</f>
        <v>1.606409147227104</v>
      </c>
      <c r="R48" s="13"/>
      <c r="T48" s="55" t="s">
        <v>46</v>
      </c>
      <c r="Y48" s="62">
        <f>IF(Y$8="M",Y13*Y14/Y47,Y46*Y45/Y47)</f>
        <v>1.606409147227104</v>
      </c>
      <c r="Z48" s="13"/>
    </row>
    <row r="49" spans="1:26" ht="15.75">
      <c r="A49" s="23"/>
      <c r="B49" s="24"/>
      <c r="H49" s="12"/>
      <c r="I49" s="13"/>
      <c r="L49" s="12"/>
      <c r="Q49" s="12"/>
      <c r="R49" s="13"/>
      <c r="T49" s="12"/>
      <c r="Y49" s="12"/>
      <c r="Z49" s="13"/>
    </row>
    <row r="50" spans="1:26" ht="15.75">
      <c r="A50" s="23"/>
      <c r="B50" s="24"/>
      <c r="C50" s="1" t="s">
        <v>47</v>
      </c>
      <c r="H50" s="62">
        <f>IF(H$8="M"," ",(H70+H71/H44)/(1+1/H44))</f>
        <v>26.36703258594918</v>
      </c>
      <c r="I50" s="63" t="s">
        <v>37</v>
      </c>
      <c r="L50" s="55" t="s">
        <v>47</v>
      </c>
      <c r="Q50" s="62">
        <f>IF(Q$8="M"," ",(Q70+Q71/Q44)/(1+1/Q44))</f>
        <v>25.90671514817397</v>
      </c>
      <c r="R50" s="63" t="s">
        <v>37</v>
      </c>
      <c r="T50" s="55" t="s">
        <v>47</v>
      </c>
      <c r="Y50" s="62">
        <f>IF(Y$8="M"," ",(Y70+Y71/Y44)/(1+1/Y44))</f>
        <v>25.90671514817397</v>
      </c>
      <c r="Z50" s="63" t="s">
        <v>37</v>
      </c>
    </row>
    <row r="51" spans="1:26" ht="15.75">
      <c r="A51" s="23"/>
      <c r="B51" s="24"/>
      <c r="C51" s="1" t="s">
        <v>48</v>
      </c>
      <c r="H51" s="62">
        <f>IF(H$8="M"," ",H50/H45)</f>
        <v>19.953333333333337</v>
      </c>
      <c r="I51" s="63" t="s">
        <v>26</v>
      </c>
      <c r="L51" s="55" t="s">
        <v>48</v>
      </c>
      <c r="Q51" s="62">
        <f>IF(Q$8="M"," ",Q50/Q45)</f>
        <v>21.858012700784457</v>
      </c>
      <c r="R51" s="63" t="s">
        <v>26</v>
      </c>
      <c r="T51" s="55" t="s">
        <v>48</v>
      </c>
      <c r="Y51" s="62">
        <f>IF(Y$8="M"," ",Y50/Y45)</f>
        <v>21.858012700784457</v>
      </c>
      <c r="Z51" s="63" t="s">
        <v>26</v>
      </c>
    </row>
    <row r="52" spans="1:26" ht="15.75">
      <c r="A52" s="23"/>
      <c r="B52" s="24"/>
      <c r="C52" s="1" t="s">
        <v>49</v>
      </c>
      <c r="H52" s="105">
        <f>IF(H$8="M",100*H70/(H13*H14),100*((H44*H70)+H71)/((H44*H13*H14)+(H21*H22)))</f>
        <v>39.18821603927987</v>
      </c>
      <c r="I52" s="63" t="s">
        <v>26</v>
      </c>
      <c r="L52" s="55" t="s">
        <v>49</v>
      </c>
      <c r="Q52" s="105">
        <f>IF(Q$8="M",100*Q70/(Q13*Q14),100*((Q44*Q70)+Q71)/((Q44*Q13*Q14)+(Q21*Q22)))</f>
        <v>50.050723125297246</v>
      </c>
      <c r="R52" s="63" t="s">
        <v>26</v>
      </c>
      <c r="T52" s="55" t="s">
        <v>49</v>
      </c>
      <c r="Y52" s="62">
        <f>IF(Y$8="M",100*Y70/(Y13*Y14),100*((Y44*Y70)+Y71)/((Y44*Y13*Y14)+(Y21*Y22)))</f>
        <v>50.050723125297246</v>
      </c>
      <c r="Z52" s="63" t="s">
        <v>26</v>
      </c>
    </row>
    <row r="53" spans="1:26" ht="15.75">
      <c r="A53" s="25"/>
      <c r="B53" s="26"/>
      <c r="C53" s="57" t="s">
        <v>50</v>
      </c>
      <c r="D53" s="18"/>
      <c r="E53" s="18"/>
      <c r="F53" s="18"/>
      <c r="G53" s="18"/>
      <c r="H53" s="106">
        <f>H52*H48</f>
        <v>77.20529657802955</v>
      </c>
      <c r="I53" s="67" t="s">
        <v>37</v>
      </c>
      <c r="L53" s="58" t="s">
        <v>50</v>
      </c>
      <c r="M53" s="18"/>
      <c r="N53" s="18"/>
      <c r="O53" s="18"/>
      <c r="P53" s="18"/>
      <c r="Q53" s="106">
        <f>Q52*Q48</f>
        <v>80.40193945380864</v>
      </c>
      <c r="R53" s="67" t="s">
        <v>37</v>
      </c>
      <c r="T53" s="58" t="s">
        <v>50</v>
      </c>
      <c r="U53" s="18"/>
      <c r="V53" s="18"/>
      <c r="W53" s="18"/>
      <c r="X53" s="18"/>
      <c r="Y53" s="107">
        <f>Y52*Y48</f>
        <v>80.40193945380864</v>
      </c>
      <c r="Z53" s="67" t="s">
        <v>37</v>
      </c>
    </row>
    <row r="54" spans="1:26" ht="15.75">
      <c r="A54" s="59" t="s">
        <v>51</v>
      </c>
      <c r="B54" s="22"/>
      <c r="C54" s="15"/>
      <c r="D54" s="15"/>
      <c r="E54" s="15"/>
      <c r="F54" s="15"/>
      <c r="G54" s="15"/>
      <c r="H54" s="14"/>
      <c r="I54" s="16"/>
      <c r="L54" s="59" t="s">
        <v>51</v>
      </c>
      <c r="M54" s="22"/>
      <c r="N54" s="22"/>
      <c r="O54" s="22"/>
      <c r="P54" s="22"/>
      <c r="Q54" s="14"/>
      <c r="R54" s="16"/>
      <c r="S54" s="24"/>
      <c r="T54" s="59" t="s">
        <v>51</v>
      </c>
      <c r="U54" s="15"/>
      <c r="V54" s="15"/>
      <c r="W54" s="15"/>
      <c r="X54" s="15"/>
      <c r="Y54" s="14"/>
      <c r="Z54" s="16"/>
    </row>
    <row r="55" spans="1:26" ht="15.75">
      <c r="A55" s="23"/>
      <c r="B55" s="24"/>
      <c r="C55" s="1" t="s">
        <v>52</v>
      </c>
      <c r="H55" s="62" t="str">
        <f>IF(H$64=0," ",IF(H$8="M",(H13+(H64*H33+H67*H39)/100)/(1+(H64+H67)/100),(H13+((H64*H33+H67*H39)/100)+H21/H44)/(1+((H64+H67)/100)+1/H44)))</f>
        <v> </v>
      </c>
      <c r="I55" s="13"/>
      <c r="L55" s="55" t="s">
        <v>52</v>
      </c>
      <c r="Q55" s="62" t="str">
        <f>IF(Q$64=0," ",IF(Q$8="M",(Q13+(Q64*Q33+Q67*Q39)/100)/(1+(Q64+Q67)/100),(Q13+((Q64*Q33+Q67*Q39)/100)+Q21/Q44)/(1+((Q64+Q67)/100)+1/Q44)))</f>
        <v> </v>
      </c>
      <c r="R55" s="13"/>
      <c r="T55" s="55" t="s">
        <v>52</v>
      </c>
      <c r="Y55" s="62" t="str">
        <f>IF(Y$64=0," ",IF(Y$8="M",(Y13+(Y64*Y33+Y67*Y39)/100)/(1+(Y64+Y67)/100),(Y13+((Y64*Y33+Y67*Y39)/100)+Y21/Y44)/(1+((Y64+Y67)/100)+1/Y44)))</f>
        <v> </v>
      </c>
      <c r="Z55" s="13"/>
    </row>
    <row r="56" spans="1:26" ht="15.75">
      <c r="A56" s="23"/>
      <c r="B56" s="24"/>
      <c r="C56" s="1" t="s">
        <v>53</v>
      </c>
      <c r="H56" s="62" t="str">
        <f>IF(H$64=0," ",IF(H$8="M",H13*H14/(H13+(H64*H33+H67*H39)/100),(H14*H43+H22)/(1+H43+H43*(H64*H33+H67*H39)/(H13*100))))</f>
        <v> </v>
      </c>
      <c r="I56" s="63" t="s">
        <v>21</v>
      </c>
      <c r="L56" s="55" t="s">
        <v>53</v>
      </c>
      <c r="Q56" s="62" t="str">
        <f>IF(Q$64=0," ",IF(Q$8="M",Q13*Q14/(Q13+(Q64*Q33+Q67*Q39)/100),(Q14*Q43+Q22)/(1+Q43+Q43*(Q64*Q33+Q67*Q39)/(Q13*100))))</f>
        <v> </v>
      </c>
      <c r="R56" s="63" t="s">
        <v>21</v>
      </c>
      <c r="T56" s="55" t="s">
        <v>54</v>
      </c>
      <c r="Y56" s="62" t="str">
        <f>IF(Y$64=0," ",IF(Y$8="M",Y13*Y14/(Y13+(Y64*Y33+Y67*Y39)/100),(Y14*Y43+Y22)/(1+Y43+Y43*(Y64*Y33+Y67*Y39)/(Y13*100))))</f>
        <v> </v>
      </c>
      <c r="Z56" s="63" t="s">
        <v>21</v>
      </c>
    </row>
    <row r="57" spans="1:26" ht="15.75">
      <c r="A57" s="23"/>
      <c r="B57" s="24"/>
      <c r="C57" s="1" t="s">
        <v>55</v>
      </c>
      <c r="H57" s="62" t="str">
        <f>IF(H$64=0," ",IF(H$8="M",H47/(1+(H64+H67)/100),H47*((H43*H21)+H13)/(H13+(H43*H21*(1+((H64+H67)/100))))))</f>
        <v> </v>
      </c>
      <c r="I57" s="63" t="s">
        <v>21</v>
      </c>
      <c r="L57" s="55" t="s">
        <v>55</v>
      </c>
      <c r="Q57" s="62" t="str">
        <f>IF(Q$64=0," ",IF(Q$8="M",Q47/(1+(Q64+Q67)/100),Q47*((Q43*Q21)+Q13)/(Q13+(Q43*Q21*(1+((Q64+Q67)/100))))))</f>
        <v> </v>
      </c>
      <c r="R57" s="63" t="s">
        <v>21</v>
      </c>
      <c r="T57" s="55" t="s">
        <v>56</v>
      </c>
      <c r="Y57" s="62" t="str">
        <f>IF(Y$64=0," ",IF(Y$8="M",Y47/(1+(Y64+Y67)/100),Y47*((Y43*Y21)+Y13)/(Y13+(Y43*Y21*(1+((Y64+Y67)/100))))))</f>
        <v> </v>
      </c>
      <c r="Z57" s="63" t="s">
        <v>21</v>
      </c>
    </row>
    <row r="58" spans="1:26" ht="15.75">
      <c r="A58" s="23"/>
      <c r="B58" s="24"/>
      <c r="H58" s="12"/>
      <c r="I58" s="13"/>
      <c r="L58" s="12"/>
      <c r="Q58" s="12"/>
      <c r="R58" s="13"/>
      <c r="T58" s="12"/>
      <c r="Y58" s="12"/>
      <c r="Z58" s="13"/>
    </row>
    <row r="59" spans="1:26" ht="15.75">
      <c r="A59" s="23"/>
      <c r="B59" s="24"/>
      <c r="C59" s="1" t="s">
        <v>57</v>
      </c>
      <c r="H59" s="62" t="str">
        <f>IF(H$64=0," ",IF(H$8="M",(H18+((H64*H66+H67*H69)/100))/(1+(H64+H67)/100),(H18+(H64*H66+H67*H69)+H25/H44)/(1+(H64+H67)/100+1/H44)))</f>
        <v> </v>
      </c>
      <c r="I59" s="63" t="s">
        <v>37</v>
      </c>
      <c r="L59" s="55" t="s">
        <v>57</v>
      </c>
      <c r="Q59" s="62" t="str">
        <f>IF(Q$64=0," ",IF(Q$8="M",(Q18+((Q64*Q66+Q67*Q69)/100))/(1+(Q64+Q67)/100),(Q18+(Q64*Q66+Q67*Q69)+Q25/Q44)/(1+(Q64+Q67)/100+1/Q44)))</f>
        <v> </v>
      </c>
      <c r="R59" s="63" t="s">
        <v>37</v>
      </c>
      <c r="T59" s="55" t="s">
        <v>57</v>
      </c>
      <c r="Y59" s="62" t="str">
        <f>IF(Y$64=0," ",IF(Y$8="M",(Y18+((Y64*Y66+Y67*Y69)/100))/(1+(Y64+Y67)/100),(Y18+(Y64*Y66+Y67*Y69)+Y25/Y44)/(1+(Y64+Y67)/100+1/Y44)))</f>
        <v> </v>
      </c>
      <c r="Z59" s="63" t="s">
        <v>37</v>
      </c>
    </row>
    <row r="60" spans="1:26" ht="15.75">
      <c r="A60" s="23"/>
      <c r="B60" s="24"/>
      <c r="C60" s="1" t="s">
        <v>58</v>
      </c>
      <c r="H60" s="62" t="str">
        <f>IF(H$64=0," ",H59/H55)</f>
        <v> </v>
      </c>
      <c r="I60" s="63" t="s">
        <v>26</v>
      </c>
      <c r="L60" s="55" t="s">
        <v>58</v>
      </c>
      <c r="Q60" s="62" t="str">
        <f>IF(Q$64=0," ",Q59/Q55)</f>
        <v> </v>
      </c>
      <c r="R60" s="63" t="s">
        <v>26</v>
      </c>
      <c r="T60" s="55" t="s">
        <v>58</v>
      </c>
      <c r="Y60" s="62" t="str">
        <f>IF(Y$64=0," ",Y59/Y55)</f>
        <v> </v>
      </c>
      <c r="Z60" s="63" t="s">
        <v>26</v>
      </c>
    </row>
    <row r="61" spans="1:26" ht="15.75">
      <c r="A61" s="68"/>
      <c r="B61" s="69"/>
      <c r="C61" s="70"/>
      <c r="D61" s="18"/>
      <c r="E61" s="18"/>
      <c r="F61" s="18"/>
      <c r="G61" s="18"/>
      <c r="H61" s="17"/>
      <c r="I61" s="19"/>
      <c r="L61" s="17"/>
      <c r="M61" s="18"/>
      <c r="N61" s="18"/>
      <c r="O61" s="18"/>
      <c r="P61" s="18"/>
      <c r="Q61" s="17"/>
      <c r="R61" s="19"/>
      <c r="T61" s="17"/>
      <c r="U61" s="18"/>
      <c r="V61" s="18"/>
      <c r="W61" s="18"/>
      <c r="X61" s="18"/>
      <c r="Y61" s="17"/>
      <c r="Z61" s="19"/>
    </row>
    <row r="62" spans="1:9" ht="15.75">
      <c r="A62" s="26"/>
      <c r="B62" s="26"/>
      <c r="C62" s="18"/>
      <c r="D62" s="18"/>
      <c r="E62" s="18"/>
      <c r="F62" s="18"/>
      <c r="G62" s="18"/>
      <c r="H62" s="18"/>
      <c r="I62" s="18"/>
    </row>
    <row r="63" spans="1:26" ht="15.75">
      <c r="A63" s="59" t="s">
        <v>59</v>
      </c>
      <c r="B63" s="22"/>
      <c r="C63" s="15"/>
      <c r="D63" s="15"/>
      <c r="E63" s="15"/>
      <c r="F63" s="15"/>
      <c r="G63" s="15"/>
      <c r="H63" s="14"/>
      <c r="I63" s="16"/>
      <c r="L63" s="59" t="s">
        <v>59</v>
      </c>
      <c r="M63" s="22"/>
      <c r="N63" s="22"/>
      <c r="O63" s="22"/>
      <c r="P63" s="22"/>
      <c r="Q63" s="14"/>
      <c r="R63" s="16"/>
      <c r="S63" s="24"/>
      <c r="T63" s="59" t="s">
        <v>59</v>
      </c>
      <c r="U63" s="22"/>
      <c r="V63" s="15"/>
      <c r="W63" s="15"/>
      <c r="X63" s="15"/>
      <c r="Y63" s="14"/>
      <c r="Z63" s="16"/>
    </row>
    <row r="64" spans="1:26" ht="15.75">
      <c r="A64" s="23"/>
      <c r="B64" s="35" t="s">
        <v>32</v>
      </c>
      <c r="C64" s="1" t="s">
        <v>60</v>
      </c>
      <c r="H64" s="62">
        <f>IF(H32="",H31,H32*H13/H33)</f>
        <v>0</v>
      </c>
      <c r="I64" s="63" t="s">
        <v>21</v>
      </c>
      <c r="L64" s="47" t="s">
        <v>61</v>
      </c>
      <c r="M64" s="1" t="s">
        <v>60</v>
      </c>
      <c r="Q64" s="62">
        <f>IF(Q32="",Q31,Q32*Q13/Q33)</f>
        <v>0</v>
      </c>
      <c r="R64" s="63" t="s">
        <v>21</v>
      </c>
      <c r="T64" s="47" t="s">
        <v>61</v>
      </c>
      <c r="U64" s="1" t="s">
        <v>60</v>
      </c>
      <c r="Y64" s="62">
        <f>IF(Y32="",Y31,Y32*Y13/Y33)</f>
        <v>0</v>
      </c>
      <c r="Z64" s="63" t="s">
        <v>21</v>
      </c>
    </row>
    <row r="65" spans="1:26" ht="15.75">
      <c r="A65" s="23"/>
      <c r="B65" s="24"/>
      <c r="C65" s="1" t="s">
        <v>34</v>
      </c>
      <c r="H65" s="62">
        <f>H64*H33/H13</f>
        <v>0</v>
      </c>
      <c r="I65" s="63" t="s">
        <v>21</v>
      </c>
      <c r="L65" s="23"/>
      <c r="M65" s="1" t="s">
        <v>34</v>
      </c>
      <c r="Q65" s="62">
        <f>Q64*Q33/Q13</f>
        <v>0</v>
      </c>
      <c r="R65" s="63" t="s">
        <v>21</v>
      </c>
      <c r="T65" s="23"/>
      <c r="U65" s="1" t="s">
        <v>34</v>
      </c>
      <c r="Y65" s="62">
        <f>Y64*Y33/Y13</f>
        <v>0</v>
      </c>
      <c r="Z65" s="63" t="s">
        <v>21</v>
      </c>
    </row>
    <row r="66" spans="1:26" ht="15.75">
      <c r="A66" s="23"/>
      <c r="B66" s="24"/>
      <c r="C66" s="1" t="s">
        <v>62</v>
      </c>
      <c r="H66" s="62">
        <f>IF(H35="",H34,H35*H33)</f>
        <v>0</v>
      </c>
      <c r="I66" s="63" t="s">
        <v>37</v>
      </c>
      <c r="L66" s="23"/>
      <c r="M66" s="1" t="s">
        <v>62</v>
      </c>
      <c r="Q66" s="62">
        <f>IF(Q35="",Q34,Q35*Q33)</f>
        <v>0</v>
      </c>
      <c r="R66" s="63" t="s">
        <v>37</v>
      </c>
      <c r="T66" s="23"/>
      <c r="U66" s="1" t="s">
        <v>62</v>
      </c>
      <c r="Y66" s="62">
        <f>IF(Y35="",Y34,Y35*Y33)</f>
        <v>0</v>
      </c>
      <c r="Z66" s="63" t="s">
        <v>37</v>
      </c>
    </row>
    <row r="67" spans="1:26" ht="15.75">
      <c r="A67" s="23"/>
      <c r="B67" s="35" t="s">
        <v>39</v>
      </c>
      <c r="C67" s="1" t="s">
        <v>63</v>
      </c>
      <c r="H67" s="62">
        <f>IF(H38="",H37,H38*H13/H39)</f>
        <v>0</v>
      </c>
      <c r="I67" s="63" t="s">
        <v>21</v>
      </c>
      <c r="L67" s="47" t="s">
        <v>64</v>
      </c>
      <c r="M67" s="1" t="s">
        <v>63</v>
      </c>
      <c r="Q67" s="62">
        <f>IF(Q38="",Q37,Q38*Q13/Q39)</f>
        <v>0</v>
      </c>
      <c r="R67" s="63" t="s">
        <v>21</v>
      </c>
      <c r="T67" s="47" t="s">
        <v>64</v>
      </c>
      <c r="U67" s="1" t="s">
        <v>63</v>
      </c>
      <c r="Y67" s="62">
        <f>IF(Y38="",Y37,Y38*Y13/Y39)</f>
        <v>0</v>
      </c>
      <c r="Z67" s="63" t="s">
        <v>21</v>
      </c>
    </row>
    <row r="68" spans="1:26" ht="15.75">
      <c r="A68" s="23"/>
      <c r="B68" s="24"/>
      <c r="C68" s="1" t="s">
        <v>34</v>
      </c>
      <c r="H68" s="62">
        <f>H67*H39/H13</f>
        <v>0</v>
      </c>
      <c r="I68" s="63" t="s">
        <v>21</v>
      </c>
      <c r="L68" s="23"/>
      <c r="M68" s="1" t="s">
        <v>34</v>
      </c>
      <c r="Q68" s="62">
        <f>Q67*Q39/Q13</f>
        <v>0</v>
      </c>
      <c r="R68" s="63" t="s">
        <v>21</v>
      </c>
      <c r="T68" s="23"/>
      <c r="U68" s="1" t="s">
        <v>34</v>
      </c>
      <c r="Y68" s="62">
        <f>Y67*Y39/Y13</f>
        <v>0</v>
      </c>
      <c r="Z68" s="63" t="s">
        <v>21</v>
      </c>
    </row>
    <row r="69" spans="1:26" ht="15.75">
      <c r="A69" s="23"/>
      <c r="B69" s="24"/>
      <c r="C69" s="1" t="s">
        <v>62</v>
      </c>
      <c r="H69" s="62">
        <f>IF(H41="",H40,H41*H39)</f>
        <v>0</v>
      </c>
      <c r="I69" s="63" t="s">
        <v>37</v>
      </c>
      <c r="L69" s="23"/>
      <c r="M69" s="1" t="s">
        <v>62</v>
      </c>
      <c r="Q69" s="62">
        <f>IF(Q41="",Q40,Q41*Q39)</f>
        <v>0</v>
      </c>
      <c r="R69" s="63" t="s">
        <v>37</v>
      </c>
      <c r="T69" s="23"/>
      <c r="U69" s="1" t="s">
        <v>62</v>
      </c>
      <c r="Y69" s="62">
        <f>IF(Y41="",Y40,Y41*Y39)</f>
        <v>0</v>
      </c>
      <c r="Z69" s="63" t="s">
        <v>37</v>
      </c>
    </row>
    <row r="70" spans="1:26" ht="15.75">
      <c r="A70" s="23"/>
      <c r="B70" s="35" t="s">
        <v>18</v>
      </c>
      <c r="C70" s="1" t="s">
        <v>62</v>
      </c>
      <c r="H70" s="62">
        <f>IF(H18=0,H19,H18*H13)</f>
        <v>26.131999999999998</v>
      </c>
      <c r="I70" s="63" t="s">
        <v>37</v>
      </c>
      <c r="L70" s="47" t="s">
        <v>18</v>
      </c>
      <c r="M70" s="1" t="s">
        <v>62</v>
      </c>
      <c r="Q70" s="62">
        <f>IF(Q18=0,Q19,Q18*Q13)</f>
        <v>21.817800000000005</v>
      </c>
      <c r="R70" s="63" t="s">
        <v>37</v>
      </c>
      <c r="T70" s="47" t="s">
        <v>18</v>
      </c>
      <c r="U70" s="1" t="s">
        <v>62</v>
      </c>
      <c r="Y70" s="62">
        <f>IF(Y18=0,Y19,Y18*Y13)</f>
        <v>21.817800000000005</v>
      </c>
      <c r="Z70" s="63" t="s">
        <v>37</v>
      </c>
    </row>
    <row r="71" spans="1:26" ht="15.75">
      <c r="A71" s="23"/>
      <c r="B71" s="35" t="s">
        <v>27</v>
      </c>
      <c r="C71" s="1" t="s">
        <v>62</v>
      </c>
      <c r="H71" s="62">
        <f>IF(H$8="M"," ",IF(H25=0,H26,H25*H21))</f>
        <v>27.263200000000005</v>
      </c>
      <c r="I71" s="63" t="s">
        <v>37</v>
      </c>
      <c r="L71" s="47" t="s">
        <v>27</v>
      </c>
      <c r="M71" s="1" t="s">
        <v>62</v>
      </c>
      <c r="Q71" s="62">
        <f>IF(Q$8="M"," ",IF(Q25=0,Q26,Q25*Q21))</f>
        <v>35.6524</v>
      </c>
      <c r="R71" s="63" t="s">
        <v>37</v>
      </c>
      <c r="T71" s="47" t="s">
        <v>27</v>
      </c>
      <c r="U71" s="1" t="s">
        <v>62</v>
      </c>
      <c r="Y71" s="62">
        <f>IF(Y$8="M"," ",IF(Y25=0,Y26,Y25*Y21))</f>
        <v>35.6524</v>
      </c>
      <c r="Z71" s="63" t="s">
        <v>37</v>
      </c>
    </row>
    <row r="72" spans="1:26" ht="15.75">
      <c r="A72" s="23"/>
      <c r="B72" s="35" t="s">
        <v>65</v>
      </c>
      <c r="H72" s="12"/>
      <c r="I72" s="13"/>
      <c r="L72" s="47" t="s">
        <v>65</v>
      </c>
      <c r="Q72" s="12"/>
      <c r="R72" s="13"/>
      <c r="T72" s="47" t="s">
        <v>65</v>
      </c>
      <c r="Y72" s="12"/>
      <c r="Z72" s="13"/>
    </row>
    <row r="73" spans="1:26" ht="15.75">
      <c r="A73" s="23"/>
      <c r="B73" s="24"/>
      <c r="C73" s="1" t="s">
        <v>66</v>
      </c>
      <c r="H73" s="62" t="str">
        <f>IF(H$64=0," ",((H64+H67)/100))</f>
        <v> </v>
      </c>
      <c r="I73" s="13"/>
      <c r="L73" s="23"/>
      <c r="M73" s="1" t="s">
        <v>66</v>
      </c>
      <c r="Q73" s="62" t="str">
        <f>IF(Q$64=0," ",((Q64+Q67)/100))</f>
        <v> </v>
      </c>
      <c r="R73" s="13"/>
      <c r="T73" s="23"/>
      <c r="U73" s="1" t="s">
        <v>66</v>
      </c>
      <c r="Y73" s="62" t="str">
        <f>IF(Y$64=0," ",((Y64+Y67)/100))</f>
        <v> </v>
      </c>
      <c r="Z73" s="13"/>
    </row>
    <row r="74" spans="1:26" ht="15.75">
      <c r="A74" s="23"/>
      <c r="B74" s="24"/>
      <c r="C74" s="1" t="s">
        <v>67</v>
      </c>
      <c r="H74" s="62" t="str">
        <f>IF(H$64=0," ",(H64*H33+H67*H39)/100)</f>
        <v> </v>
      </c>
      <c r="I74" s="13"/>
      <c r="L74" s="12"/>
      <c r="M74" s="1" t="s">
        <v>67</v>
      </c>
      <c r="Q74" s="62" t="str">
        <f>IF(Q$64=0," ",(Q64*Q33+Q67*Q39)/100)</f>
        <v> </v>
      </c>
      <c r="R74" s="13"/>
      <c r="T74" s="12"/>
      <c r="U74" s="1" t="s">
        <v>67</v>
      </c>
      <c r="Y74" s="62" t="str">
        <f>IF(Y$64=0," ",(Y64*Y33+Y67*Y39)/100)</f>
        <v> </v>
      </c>
      <c r="Z74" s="13"/>
    </row>
    <row r="75" spans="1:26" ht="15.75">
      <c r="A75" s="23"/>
      <c r="B75" s="24"/>
      <c r="C75" s="1" t="s">
        <v>68</v>
      </c>
      <c r="H75" s="62" t="str">
        <f>IF(H$64=0," ",(H66*H64+H69*H67)/100)</f>
        <v> </v>
      </c>
      <c r="I75" s="13"/>
      <c r="L75" s="12"/>
      <c r="M75" s="1" t="s">
        <v>68</v>
      </c>
      <c r="Q75" s="62" t="str">
        <f>IF(Q$64=0," ",(Q66*Q64+Q69*Q67)/100)</f>
        <v> </v>
      </c>
      <c r="R75" s="13"/>
      <c r="T75" s="12"/>
      <c r="U75" s="1" t="s">
        <v>68</v>
      </c>
      <c r="Y75" s="62" t="str">
        <f>IF(Y$64=0," ",(Y66*Y64+Y69*Y67)/100)</f>
        <v> </v>
      </c>
      <c r="Z75" s="13"/>
    </row>
    <row r="76" spans="1:26" ht="15.75">
      <c r="A76" s="25"/>
      <c r="B76" s="26"/>
      <c r="C76" s="18"/>
      <c r="D76" s="18"/>
      <c r="E76" s="18"/>
      <c r="F76" s="18"/>
      <c r="G76" s="18"/>
      <c r="H76" s="17"/>
      <c r="I76" s="19"/>
      <c r="L76" s="12"/>
      <c r="Q76" s="12"/>
      <c r="R76" s="13"/>
      <c r="T76" s="12"/>
      <c r="Y76" s="17"/>
      <c r="Z76" s="19"/>
    </row>
    <row r="77" spans="1:26" ht="15.75">
      <c r="A77" s="59" t="s">
        <v>69</v>
      </c>
      <c r="B77" s="22"/>
      <c r="C77" s="15"/>
      <c r="D77" s="15"/>
      <c r="E77" s="15"/>
      <c r="F77" s="15"/>
      <c r="G77" s="15"/>
      <c r="H77" s="15"/>
      <c r="I77" s="16"/>
      <c r="L77" s="59" t="s">
        <v>70</v>
      </c>
      <c r="M77" s="22"/>
      <c r="N77" s="22"/>
      <c r="O77" s="22"/>
      <c r="P77" s="22"/>
      <c r="Q77" s="22"/>
      <c r="R77" s="27"/>
      <c r="S77" s="24"/>
      <c r="T77" s="59" t="s">
        <v>70</v>
      </c>
      <c r="U77" s="22"/>
      <c r="V77" s="15"/>
      <c r="W77" s="15"/>
      <c r="X77" s="15"/>
      <c r="Z77" s="13"/>
    </row>
    <row r="78" spans="1:26" ht="15.75">
      <c r="A78" s="23"/>
      <c r="B78" s="24"/>
      <c r="D78" s="1" t="s">
        <v>71</v>
      </c>
      <c r="G78" s="7">
        <v>25</v>
      </c>
      <c r="H78" s="1" t="s">
        <v>72</v>
      </c>
      <c r="I78" s="13"/>
      <c r="L78" s="12"/>
      <c r="M78" s="1" t="s">
        <v>71</v>
      </c>
      <c r="P78" s="7">
        <v>25</v>
      </c>
      <c r="Q78" s="8" t="s">
        <v>72</v>
      </c>
      <c r="R78" s="71"/>
      <c r="S78" s="4"/>
      <c r="T78" s="72"/>
      <c r="U78" s="1" t="s">
        <v>71</v>
      </c>
      <c r="V78" s="4"/>
      <c r="W78" s="4"/>
      <c r="X78" s="7">
        <v>26</v>
      </c>
      <c r="Y78" s="1" t="s">
        <v>72</v>
      </c>
      <c r="Z78" s="13"/>
    </row>
    <row r="79" spans="1:26" ht="15.75">
      <c r="A79" s="23"/>
      <c r="B79" s="24"/>
      <c r="D79" s="1" t="s">
        <v>73</v>
      </c>
      <c r="G79" s="7">
        <v>1</v>
      </c>
      <c r="H79" s="1" t="s">
        <v>74</v>
      </c>
      <c r="I79" s="13"/>
      <c r="L79" s="12"/>
      <c r="M79" s="1" t="s">
        <v>73</v>
      </c>
      <c r="P79" s="7">
        <f>G79</f>
        <v>1</v>
      </c>
      <c r="Q79" s="8" t="s">
        <v>74</v>
      </c>
      <c r="R79" s="71"/>
      <c r="S79" s="4"/>
      <c r="T79" s="72"/>
      <c r="U79" s="1" t="s">
        <v>73</v>
      </c>
      <c r="V79" s="4"/>
      <c r="W79" s="4"/>
      <c r="X79" s="7">
        <f>G79</f>
        <v>1</v>
      </c>
      <c r="Y79" s="1" t="s">
        <v>74</v>
      </c>
      <c r="Z79" s="13"/>
    </row>
    <row r="80" spans="1:26" ht="15.75">
      <c r="A80" s="23"/>
      <c r="B80" s="24"/>
      <c r="D80" s="1" t="s">
        <v>75</v>
      </c>
      <c r="G80" s="145">
        <v>0.0758</v>
      </c>
      <c r="H80" s="1" t="s">
        <v>76</v>
      </c>
      <c r="I80" s="13"/>
      <c r="L80" s="12"/>
      <c r="M80" s="1" t="s">
        <v>77</v>
      </c>
      <c r="P80" s="146">
        <f>IF(Q8="M",(G83*P78*Q48*P79*0.1)/(G78*Q14),(G83*P78*Q48*P79*0.1)/(G78*Q46)*(Q43/(1+Q43)))</f>
        <v>0.054144800903815224</v>
      </c>
      <c r="Q80" s="1" t="s">
        <v>76</v>
      </c>
      <c r="R80" s="13"/>
      <c r="T80" s="12"/>
      <c r="U80" s="1" t="s">
        <v>77</v>
      </c>
      <c r="X80" s="146">
        <f>IF(Y8="M",(G83*X78*Y48*X79*0.1)/(G78*Y14),(G83*X78*Y48*X79*0.1)/(G78*Y46)*(Y43/(1+Y43)))</f>
        <v>0.05631059293996784</v>
      </c>
      <c r="Y80" s="1" t="s">
        <v>76</v>
      </c>
      <c r="Z80" s="13"/>
    </row>
    <row r="81" spans="1:26" ht="15.75">
      <c r="A81" s="23"/>
      <c r="B81" s="24"/>
      <c r="D81" s="1" t="s">
        <v>78</v>
      </c>
      <c r="G81" s="145">
        <v>0.0151</v>
      </c>
      <c r="H81" s="1" t="s">
        <v>76</v>
      </c>
      <c r="I81" s="13"/>
      <c r="L81" s="12"/>
      <c r="M81" s="1" t="s">
        <v>78</v>
      </c>
      <c r="P81" s="146">
        <f>IF(Q8="M"," ",(G83*P78*Q48*P79*0.1)/(G78*Q46)/(1+Q43))</f>
        <v>0.032286702983789634</v>
      </c>
      <c r="Q81" s="1" t="s">
        <v>76</v>
      </c>
      <c r="R81" s="13"/>
      <c r="T81" s="12"/>
      <c r="U81" s="1" t="s">
        <v>78</v>
      </c>
      <c r="X81" s="146">
        <f>IF(Y8="M","",(G83*X78*Y48*X79*0.1)/(G78*Y46)/(1+Y43))</f>
        <v>0.03357817110314123</v>
      </c>
      <c r="Y81" s="1" t="s">
        <v>76</v>
      </c>
      <c r="Z81" s="13"/>
    </row>
    <row r="82" spans="1:26" ht="15.75">
      <c r="A82" s="23"/>
      <c r="B82" s="24"/>
      <c r="D82" s="1" t="s">
        <v>79</v>
      </c>
      <c r="G82" s="5">
        <f>IF(H$8="M"," ",G80/G81)</f>
        <v>5.0198675496688745</v>
      </c>
      <c r="I82" s="13"/>
      <c r="L82" s="12"/>
      <c r="M82" s="1" t="s">
        <v>79</v>
      </c>
      <c r="P82" s="6">
        <f>IF(Q8="M"," ",P80/P81)</f>
        <v>1.6770000000000003</v>
      </c>
      <c r="R82" s="13"/>
      <c r="T82" s="12"/>
      <c r="U82" s="1" t="s">
        <v>79</v>
      </c>
      <c r="X82" s="6">
        <f>IF(Y8="M"," ",X80/X81)</f>
        <v>1.677</v>
      </c>
      <c r="Z82" s="13"/>
    </row>
    <row r="83" spans="1:26" ht="16.5" thickBot="1">
      <c r="A83" s="17"/>
      <c r="B83" s="18"/>
      <c r="C83" s="18"/>
      <c r="D83" s="57" t="s">
        <v>80</v>
      </c>
      <c r="E83" s="18"/>
      <c r="F83" s="18"/>
      <c r="G83" s="73">
        <f>IF(H$8="M",G80*H14/(H48*G79*100)/0.001,(G80*H14+G81*H22)/(H48*G79*0.1))</f>
        <v>23.497205696244883</v>
      </c>
      <c r="H83" s="57" t="s">
        <v>81</v>
      </c>
      <c r="I83" s="19"/>
      <c r="L83" s="17"/>
      <c r="M83" s="57" t="s">
        <v>80</v>
      </c>
      <c r="N83" s="18"/>
      <c r="O83" s="18"/>
      <c r="P83" s="73">
        <f>IF(Q$8="M",P80*Q14/(Q48*P79*100)/0.001,(P80*Q14+P81*Q22)/(Q48*P79*0.1))</f>
        <v>23.497205696244883</v>
      </c>
      <c r="Q83" s="57" t="s">
        <v>81</v>
      </c>
      <c r="R83" s="19"/>
      <c r="T83" s="17"/>
      <c r="U83" s="57" t="s">
        <v>80</v>
      </c>
      <c r="V83" s="18"/>
      <c r="W83" s="18"/>
      <c r="X83" s="73">
        <f>IF(Y$8="M",X80*Y14/(Y48*X79*100)/0.001,(X80*Y14+X81*Y22)/(Y48*X79*0.1))</f>
        <v>24.437093924094683</v>
      </c>
      <c r="Y83" s="57" t="s">
        <v>81</v>
      </c>
      <c r="Z83" s="19"/>
    </row>
    <row r="84" spans="1:26" ht="16.5" thickTop="1">
      <c r="A84" s="74" t="s">
        <v>82</v>
      </c>
      <c r="B84" s="31"/>
      <c r="C84" s="75" t="s">
        <v>83</v>
      </c>
      <c r="D84" s="32"/>
      <c r="E84" s="76" t="s">
        <v>84</v>
      </c>
      <c r="F84" s="77" t="s">
        <v>85</v>
      </c>
      <c r="G84" s="32"/>
      <c r="H84" s="75" t="s">
        <v>86</v>
      </c>
      <c r="I84" s="32"/>
      <c r="J84" s="32"/>
      <c r="K84" s="33"/>
      <c r="L84" s="75" t="s">
        <v>87</v>
      </c>
      <c r="M84" s="32"/>
      <c r="N84" s="78" t="s">
        <v>84</v>
      </c>
      <c r="O84" s="75" t="s">
        <v>85</v>
      </c>
      <c r="P84" s="32"/>
      <c r="Q84" s="75" t="s">
        <v>88</v>
      </c>
      <c r="R84" s="33"/>
      <c r="S84" s="24"/>
      <c r="T84" s="75" t="s">
        <v>87</v>
      </c>
      <c r="U84" s="32"/>
      <c r="V84" s="78" t="s">
        <v>84</v>
      </c>
      <c r="W84" s="75" t="s">
        <v>85</v>
      </c>
      <c r="X84" s="32"/>
      <c r="Y84" s="75" t="s">
        <v>88</v>
      </c>
      <c r="Z84" s="33"/>
    </row>
    <row r="85" spans="1:32" ht="15.75">
      <c r="A85" s="56" t="s">
        <v>89</v>
      </c>
      <c r="B85" s="56" t="s">
        <v>90</v>
      </c>
      <c r="C85" s="56" t="s">
        <v>91</v>
      </c>
      <c r="D85" s="56" t="s">
        <v>92</v>
      </c>
      <c r="E85" s="79" t="s">
        <v>93</v>
      </c>
      <c r="F85" s="54" t="s">
        <v>94</v>
      </c>
      <c r="G85" s="56" t="s">
        <v>95</v>
      </c>
      <c r="H85" s="80" t="s">
        <v>96</v>
      </c>
      <c r="I85" s="81" t="s">
        <v>97</v>
      </c>
      <c r="J85" s="82" t="s">
        <v>98</v>
      </c>
      <c r="K85" s="30"/>
      <c r="L85" s="56" t="s">
        <v>91</v>
      </c>
      <c r="M85" s="56" t="s">
        <v>92</v>
      </c>
      <c r="N85" s="79" t="s">
        <v>93</v>
      </c>
      <c r="O85" s="54" t="s">
        <v>94</v>
      </c>
      <c r="P85" s="56" t="s">
        <v>95</v>
      </c>
      <c r="Q85" s="56" t="s">
        <v>94</v>
      </c>
      <c r="R85" s="79" t="s">
        <v>95</v>
      </c>
      <c r="T85" s="56" t="s">
        <v>91</v>
      </c>
      <c r="U85" s="56" t="s">
        <v>92</v>
      </c>
      <c r="V85" s="79" t="s">
        <v>93</v>
      </c>
      <c r="W85" s="54" t="s">
        <v>94</v>
      </c>
      <c r="X85" s="56" t="s">
        <v>95</v>
      </c>
      <c r="Y85" s="56" t="s">
        <v>94</v>
      </c>
      <c r="Z85" s="79" t="s">
        <v>95</v>
      </c>
      <c r="AB85" s="5" t="str">
        <f>H85</f>
        <v>Sochaux</v>
      </c>
      <c r="AD85" s="5" t="str">
        <f>I85</f>
        <v>Mulh.</v>
      </c>
      <c r="AF85" s="5" t="str">
        <f>J85</f>
        <v>Poissy</v>
      </c>
    </row>
    <row r="86" spans="1:32" ht="15.75">
      <c r="A86" s="17"/>
      <c r="B86" s="83" t="s">
        <v>99</v>
      </c>
      <c r="C86" s="83" t="s">
        <v>100</v>
      </c>
      <c r="D86" s="83" t="s">
        <v>100</v>
      </c>
      <c r="E86" s="84" t="s">
        <v>100</v>
      </c>
      <c r="F86" s="85" t="s">
        <v>101</v>
      </c>
      <c r="G86" s="83" t="s">
        <v>101</v>
      </c>
      <c r="H86" s="83" t="s">
        <v>102</v>
      </c>
      <c r="I86" s="84" t="s">
        <v>102</v>
      </c>
      <c r="J86" s="86" t="s">
        <v>102</v>
      </c>
      <c r="K86" s="29"/>
      <c r="L86" s="83" t="s">
        <v>100</v>
      </c>
      <c r="M86" s="83" t="s">
        <v>100</v>
      </c>
      <c r="N86" s="84" t="s">
        <v>100</v>
      </c>
      <c r="O86" s="85" t="s">
        <v>101</v>
      </c>
      <c r="P86" s="83" t="s">
        <v>101</v>
      </c>
      <c r="Q86" s="83" t="s">
        <v>101</v>
      </c>
      <c r="R86" s="84" t="s">
        <v>101</v>
      </c>
      <c r="S86" s="18"/>
      <c r="T86" s="83" t="s">
        <v>100</v>
      </c>
      <c r="U86" s="83" t="s">
        <v>100</v>
      </c>
      <c r="V86" s="84" t="s">
        <v>100</v>
      </c>
      <c r="W86" s="85" t="s">
        <v>101</v>
      </c>
      <c r="X86" s="83" t="s">
        <v>101</v>
      </c>
      <c r="Y86" s="83" t="s">
        <v>101</v>
      </c>
      <c r="Z86" s="84" t="s">
        <v>101</v>
      </c>
      <c r="AB86" s="1" t="s">
        <v>103</v>
      </c>
      <c r="AD86" s="1" t="s">
        <v>103</v>
      </c>
      <c r="AF86" s="1" t="s">
        <v>103</v>
      </c>
    </row>
    <row r="87" spans="1:33" ht="15.75">
      <c r="A87" s="66" t="s">
        <v>104</v>
      </c>
      <c r="B87" s="87">
        <v>1</v>
      </c>
      <c r="C87" s="72">
        <f aca="true" t="shared" si="0" ref="C87:C105">$G$80*$B87/G$79</f>
        <v>0.0758</v>
      </c>
      <c r="D87" s="72">
        <f aca="true" t="shared" si="1" ref="D87:D105">$G$81*$B87/G$79</f>
        <v>0.0151</v>
      </c>
      <c r="E87" s="88">
        <f aca="true" t="shared" si="2" ref="E87:E105">IF(H$9="S",C87*(100-H$14)/100+D87*(100-H$22)/100,(C87*H$15+D87*H$23)/100)</f>
        <v>0</v>
      </c>
      <c r="F87" s="9">
        <f aca="true" t="shared" si="3" ref="F87:F105">IF(H$8="M",C87*H$18,(C87*H$18)+(D87*H$71))</f>
        <v>1.8367143200000002</v>
      </c>
      <c r="G87" s="89">
        <f aca="true" t="shared" si="4" ref="G87:G105">IF(H$64=0,F87,F87+C87/H$13*H$75)</f>
        <v>1.8367143200000002</v>
      </c>
      <c r="H87" s="90"/>
      <c r="I87" s="91"/>
      <c r="J87" s="10"/>
      <c r="K87" s="13"/>
      <c r="L87" s="72">
        <f aca="true" t="shared" si="5" ref="L87:L105">$P$80*$B87/P$79</f>
        <v>0.054144800903815224</v>
      </c>
      <c r="M87" s="72">
        <f aca="true" t="shared" si="6" ref="M87:M105">$P$81*$B87/P$79</f>
        <v>0.032286702983789634</v>
      </c>
      <c r="N87" s="88">
        <f aca="true" t="shared" si="7" ref="N87:N105">IF(Q$9="S",L87*(100-Q$14)/100+M87*(100-Q$22)/100,(L87*Q$15+M87*Q$23)/100)</f>
        <v>0</v>
      </c>
      <c r="O87" s="9">
        <f aca="true" t="shared" si="8" ref="O87:O105">IF(Q$8="M",L87*Q$18,(L87*Q$18)+(M87*Q$71))</f>
        <v>2.271895828168237</v>
      </c>
      <c r="P87" s="89">
        <f aca="true" t="shared" si="9" ref="P87:P105">IF(Q$64=0,O87,O87+L87/Q$13*Q$75)</f>
        <v>2.271895828168237</v>
      </c>
      <c r="Q87" s="89">
        <f aca="true" t="shared" si="10" ref="Q87:R105">O87-F87</f>
        <v>0.43518150816823664</v>
      </c>
      <c r="R87" s="92">
        <f t="shared" si="10"/>
        <v>0.43518150816823664</v>
      </c>
      <c r="T87" s="72">
        <f aca="true" t="shared" si="11" ref="T87:T105">$X$80*$B87/X$79</f>
        <v>0.05631059293996784</v>
      </c>
      <c r="U87" s="72">
        <f aca="true" t="shared" si="12" ref="U87:U105">$X$81*$B87/X$79</f>
        <v>0.03357817110314123</v>
      </c>
      <c r="V87" s="88">
        <f aca="true" t="shared" si="13" ref="V87:V105">IF(Y$9="S",T87*(100-Y$14)/100+U87*(100-Y$22)/100,(T87*Y$15+U87*Y$23)/100)</f>
        <v>0</v>
      </c>
      <c r="W87" s="9">
        <f aca="true" t="shared" si="14" ref="W87:W105">IF(Y$8="M",T87*Y$18,(T87*Y$18)+(U87*Y$71))</f>
        <v>2.3627716612949667</v>
      </c>
      <c r="X87" s="89">
        <f aca="true" t="shared" si="15" ref="X87:X105">IF(Y$64=0,W87,W87+T87/Y$13*Y$75)</f>
        <v>2.3627716612949667</v>
      </c>
      <c r="Y87" s="89">
        <f aca="true" t="shared" si="16" ref="Y87:Z105">W87-F87</f>
        <v>0.5260573412949665</v>
      </c>
      <c r="Z87" s="92">
        <f t="shared" si="16"/>
        <v>0.5260573412949665</v>
      </c>
      <c r="AB87" s="9">
        <f aca="true" t="shared" si="17" ref="AB87:AB105">IF(H87=0,"",H87*B87/1000)</f>
      </c>
      <c r="AC87" s="4"/>
      <c r="AD87" s="9">
        <f aca="true" t="shared" si="18" ref="AD87:AD105">IF(I87=0,"",I87*B87/1000)</f>
      </c>
      <c r="AE87" s="4"/>
      <c r="AF87" s="9">
        <f aca="true" t="shared" si="19" ref="AF87:AF105">IF(J87=0,"",J87*B87/1000)</f>
      </c>
      <c r="AG87" s="4"/>
    </row>
    <row r="88" spans="1:33" ht="15.75">
      <c r="A88" s="66" t="s">
        <v>105</v>
      </c>
      <c r="B88" s="87">
        <v>59.07</v>
      </c>
      <c r="C88" s="72">
        <f t="shared" si="0"/>
        <v>4.477506</v>
      </c>
      <c r="D88" s="72">
        <f t="shared" si="1"/>
        <v>0.891957</v>
      </c>
      <c r="E88" s="88">
        <f t="shared" si="2"/>
        <v>0</v>
      </c>
      <c r="F88" s="9">
        <f t="shared" si="3"/>
        <v>108.4947148824</v>
      </c>
      <c r="G88" s="89">
        <f t="shared" si="4"/>
        <v>108.4947148824</v>
      </c>
      <c r="H88" s="90"/>
      <c r="I88" s="91">
        <v>974</v>
      </c>
      <c r="J88" s="10"/>
      <c r="K88" s="13"/>
      <c r="L88" s="72">
        <f t="shared" si="5"/>
        <v>3.1983333893883654</v>
      </c>
      <c r="M88" s="72">
        <f t="shared" si="6"/>
        <v>1.9071755452524537</v>
      </c>
      <c r="N88" s="88">
        <f t="shared" si="7"/>
        <v>0</v>
      </c>
      <c r="O88" s="9">
        <f t="shared" si="8"/>
        <v>134.20088656989776</v>
      </c>
      <c r="P88" s="89">
        <f t="shared" si="9"/>
        <v>134.20088656989776</v>
      </c>
      <c r="Q88" s="89">
        <f t="shared" si="10"/>
        <v>25.706171687497758</v>
      </c>
      <c r="R88" s="92">
        <f t="shared" si="10"/>
        <v>25.706171687497758</v>
      </c>
      <c r="T88" s="72">
        <f t="shared" si="11"/>
        <v>3.3262667249639004</v>
      </c>
      <c r="U88" s="72">
        <f t="shared" si="12"/>
        <v>1.9834625670625523</v>
      </c>
      <c r="V88" s="88">
        <f t="shared" si="13"/>
        <v>0</v>
      </c>
      <c r="W88" s="9">
        <f t="shared" si="14"/>
        <v>139.5689220326937</v>
      </c>
      <c r="X88" s="89">
        <f t="shared" si="15"/>
        <v>139.5689220326937</v>
      </c>
      <c r="Y88" s="89">
        <f t="shared" si="16"/>
        <v>31.074207150293702</v>
      </c>
      <c r="Z88" s="92">
        <f t="shared" si="16"/>
        <v>31.074207150293702</v>
      </c>
      <c r="AB88" s="9">
        <f t="shared" si="17"/>
      </c>
      <c r="AC88" s="4"/>
      <c r="AD88" s="9">
        <f t="shared" si="18"/>
        <v>57.53418</v>
      </c>
      <c r="AE88" s="4"/>
      <c r="AF88" s="9">
        <f t="shared" si="19"/>
      </c>
      <c r="AG88" s="4"/>
    </row>
    <row r="89" spans="1:33" ht="15.75">
      <c r="A89" s="66" t="s">
        <v>106</v>
      </c>
      <c r="B89" s="87">
        <v>61.92</v>
      </c>
      <c r="C89" s="72">
        <f t="shared" si="0"/>
        <v>4.693536000000001</v>
      </c>
      <c r="D89" s="72">
        <f t="shared" si="1"/>
        <v>0.934992</v>
      </c>
      <c r="E89" s="88">
        <f t="shared" si="2"/>
        <v>0</v>
      </c>
      <c r="F89" s="9">
        <f t="shared" si="3"/>
        <v>113.72935069440003</v>
      </c>
      <c r="G89" s="89">
        <f t="shared" si="4"/>
        <v>113.72935069440003</v>
      </c>
      <c r="H89" s="90"/>
      <c r="I89" s="91">
        <v>526</v>
      </c>
      <c r="J89" s="10"/>
      <c r="K89" s="13"/>
      <c r="L89" s="72">
        <f t="shared" si="5"/>
        <v>3.3526460719642386</v>
      </c>
      <c r="M89" s="72">
        <f t="shared" si="6"/>
        <v>1.9991926487562541</v>
      </c>
      <c r="N89" s="88">
        <f t="shared" si="7"/>
        <v>0</v>
      </c>
      <c r="O89" s="9">
        <f t="shared" si="8"/>
        <v>140.67578968017722</v>
      </c>
      <c r="P89" s="89">
        <f t="shared" si="9"/>
        <v>140.67578968017722</v>
      </c>
      <c r="Q89" s="89">
        <f t="shared" si="10"/>
        <v>26.946438985777192</v>
      </c>
      <c r="R89" s="92">
        <f t="shared" si="10"/>
        <v>26.946438985777192</v>
      </c>
      <c r="T89" s="72">
        <f t="shared" si="11"/>
        <v>3.4867519148428086</v>
      </c>
      <c r="U89" s="72">
        <f t="shared" si="12"/>
        <v>2.079160354706505</v>
      </c>
      <c r="V89" s="88">
        <f t="shared" si="13"/>
        <v>0</v>
      </c>
      <c r="W89" s="9">
        <f t="shared" si="14"/>
        <v>146.30282126738433</v>
      </c>
      <c r="X89" s="89">
        <f t="shared" si="15"/>
        <v>146.30282126738433</v>
      </c>
      <c r="Y89" s="89">
        <f t="shared" si="16"/>
        <v>32.573470572984306</v>
      </c>
      <c r="Z89" s="92">
        <f t="shared" si="16"/>
        <v>32.573470572984306</v>
      </c>
      <c r="AB89" s="9">
        <f t="shared" si="17"/>
      </c>
      <c r="AC89" s="4"/>
      <c r="AD89" s="9">
        <f t="shared" si="18"/>
        <v>32.56992</v>
      </c>
      <c r="AE89" s="4"/>
      <c r="AF89" s="9">
        <f t="shared" si="19"/>
      </c>
      <c r="AG89" s="4"/>
    </row>
    <row r="90" spans="1:33" ht="15.75">
      <c r="A90" s="102" t="s">
        <v>107</v>
      </c>
      <c r="B90" s="87">
        <v>90.71</v>
      </c>
      <c r="C90" s="72">
        <f t="shared" si="0"/>
        <v>6.875818</v>
      </c>
      <c r="D90" s="72">
        <f t="shared" si="1"/>
        <v>1.369721</v>
      </c>
      <c r="E90" s="88">
        <f t="shared" si="2"/>
        <v>0</v>
      </c>
      <c r="F90" s="9">
        <f t="shared" si="3"/>
        <v>166.6083559672</v>
      </c>
      <c r="G90" s="89">
        <f t="shared" si="4"/>
        <v>166.6083559672</v>
      </c>
      <c r="H90" s="90">
        <v>407</v>
      </c>
      <c r="I90" s="91"/>
      <c r="J90" s="10"/>
      <c r="K90" s="13"/>
      <c r="L90" s="72">
        <f t="shared" si="5"/>
        <v>4.911474889985079</v>
      </c>
      <c r="M90" s="72">
        <f t="shared" si="6"/>
        <v>2.9287268276595575</v>
      </c>
      <c r="N90" s="88">
        <f t="shared" si="7"/>
        <v>0</v>
      </c>
      <c r="O90" s="9">
        <f t="shared" si="8"/>
        <v>206.08367057314075</v>
      </c>
      <c r="P90" s="89">
        <f t="shared" si="9"/>
        <v>206.08367057314075</v>
      </c>
      <c r="Q90" s="89">
        <f t="shared" si="10"/>
        <v>39.47531460594075</v>
      </c>
      <c r="R90" s="92">
        <f t="shared" si="10"/>
        <v>39.47531460594075</v>
      </c>
      <c r="T90" s="72">
        <f t="shared" si="11"/>
        <v>5.107933885584482</v>
      </c>
      <c r="U90" s="72">
        <f t="shared" si="12"/>
        <v>3.0458759007659406</v>
      </c>
      <c r="V90" s="88">
        <f t="shared" si="13"/>
        <v>0</v>
      </c>
      <c r="W90" s="9">
        <f t="shared" si="14"/>
        <v>214.32701739606642</v>
      </c>
      <c r="X90" s="89">
        <f t="shared" si="15"/>
        <v>214.32701739606642</v>
      </c>
      <c r="Y90" s="89">
        <f t="shared" si="16"/>
        <v>47.718661428866426</v>
      </c>
      <c r="Z90" s="92">
        <f t="shared" si="16"/>
        <v>47.718661428866426</v>
      </c>
      <c r="AB90" s="9">
        <f t="shared" si="17"/>
        <v>36.918969999999995</v>
      </c>
      <c r="AC90" s="4"/>
      <c r="AD90" s="9">
        <f t="shared" si="18"/>
      </c>
      <c r="AE90" s="4"/>
      <c r="AF90" s="9">
        <f t="shared" si="19"/>
      </c>
      <c r="AG90" s="4"/>
    </row>
    <row r="91" spans="1:33" ht="15.75">
      <c r="A91" s="102" t="s">
        <v>108</v>
      </c>
      <c r="B91" s="87">
        <v>96.4</v>
      </c>
      <c r="C91" s="72">
        <f t="shared" si="0"/>
        <v>7.307120000000001</v>
      </c>
      <c r="D91" s="72">
        <f t="shared" si="1"/>
        <v>1.45564</v>
      </c>
      <c r="E91" s="88">
        <f t="shared" si="2"/>
        <v>0</v>
      </c>
      <c r="F91" s="9">
        <f t="shared" si="3"/>
        <v>177.05926044800003</v>
      </c>
      <c r="G91" s="89">
        <f t="shared" si="4"/>
        <v>177.05926044800003</v>
      </c>
      <c r="H91" s="90">
        <v>147</v>
      </c>
      <c r="I91" s="91"/>
      <c r="J91" s="10"/>
      <c r="K91" s="13"/>
      <c r="L91" s="72">
        <f t="shared" si="5"/>
        <v>5.219558807127788</v>
      </c>
      <c r="M91" s="72">
        <f t="shared" si="6"/>
        <v>3.112438167637321</v>
      </c>
      <c r="N91" s="88">
        <f t="shared" si="7"/>
        <v>0</v>
      </c>
      <c r="O91" s="9">
        <f t="shared" si="8"/>
        <v>219.01075783541802</v>
      </c>
      <c r="P91" s="89">
        <f t="shared" si="9"/>
        <v>219.01075783541802</v>
      </c>
      <c r="Q91" s="89">
        <f t="shared" si="10"/>
        <v>41.95149738741799</v>
      </c>
      <c r="R91" s="92">
        <f t="shared" si="10"/>
        <v>41.95149738741799</v>
      </c>
      <c r="T91" s="72">
        <f t="shared" si="11"/>
        <v>5.4283411594129</v>
      </c>
      <c r="U91" s="72">
        <f t="shared" si="12"/>
        <v>3.2369356943428147</v>
      </c>
      <c r="V91" s="88">
        <f t="shared" si="13"/>
        <v>0</v>
      </c>
      <c r="W91" s="9">
        <f t="shared" si="14"/>
        <v>227.77118814883482</v>
      </c>
      <c r="X91" s="89">
        <f t="shared" si="15"/>
        <v>227.77118814883482</v>
      </c>
      <c r="Y91" s="89">
        <f t="shared" si="16"/>
        <v>50.71192770083479</v>
      </c>
      <c r="Z91" s="92">
        <f t="shared" si="16"/>
        <v>50.71192770083479</v>
      </c>
      <c r="AB91" s="9">
        <f t="shared" si="17"/>
        <v>14.170800000000002</v>
      </c>
      <c r="AC91" s="4"/>
      <c r="AD91" s="9">
        <f t="shared" si="18"/>
      </c>
      <c r="AE91" s="4"/>
      <c r="AF91" s="9">
        <f t="shared" si="19"/>
      </c>
      <c r="AG91" s="4"/>
    </row>
    <row r="92" spans="1:33" ht="15.75">
      <c r="A92" s="319">
        <v>607</v>
      </c>
      <c r="B92" s="87">
        <v>102.02</v>
      </c>
      <c r="C92" s="72">
        <f t="shared" si="0"/>
        <v>7.733116000000001</v>
      </c>
      <c r="D92" s="72">
        <f t="shared" si="1"/>
        <v>1.540502</v>
      </c>
      <c r="E92" s="88">
        <f t="shared" si="2"/>
        <v>0</v>
      </c>
      <c r="F92" s="9">
        <f t="shared" si="3"/>
        <v>187.38159492640003</v>
      </c>
      <c r="G92" s="89">
        <f t="shared" si="4"/>
        <v>187.38159492640003</v>
      </c>
      <c r="H92" s="90">
        <v>486</v>
      </c>
      <c r="I92" s="91"/>
      <c r="J92" s="10"/>
      <c r="K92" s="13"/>
      <c r="L92" s="72">
        <f t="shared" si="5"/>
        <v>5.523852588207229</v>
      </c>
      <c r="M92" s="72">
        <f t="shared" si="6"/>
        <v>3.2938894384062185</v>
      </c>
      <c r="N92" s="88">
        <f t="shared" si="7"/>
        <v>0</v>
      </c>
      <c r="O92" s="9">
        <f t="shared" si="8"/>
        <v>231.77881238972353</v>
      </c>
      <c r="P92" s="89">
        <f t="shared" si="9"/>
        <v>231.77881238972353</v>
      </c>
      <c r="Q92" s="89">
        <f t="shared" si="10"/>
        <v>44.3972174633235</v>
      </c>
      <c r="R92" s="92">
        <f t="shared" si="10"/>
        <v>44.3972174633235</v>
      </c>
      <c r="T92" s="72">
        <f t="shared" si="11"/>
        <v>5.744806691735519</v>
      </c>
      <c r="U92" s="72">
        <f t="shared" si="12"/>
        <v>3.425645015942468</v>
      </c>
      <c r="V92" s="88">
        <f t="shared" si="13"/>
        <v>0</v>
      </c>
      <c r="W92" s="9">
        <f t="shared" si="14"/>
        <v>241.0499648853125</v>
      </c>
      <c r="X92" s="89">
        <f t="shared" si="15"/>
        <v>241.0499648853125</v>
      </c>
      <c r="Y92" s="89">
        <f t="shared" si="16"/>
        <v>53.66836995891248</v>
      </c>
      <c r="Z92" s="92">
        <f t="shared" si="16"/>
        <v>53.66836995891248</v>
      </c>
      <c r="AB92" s="9">
        <f t="shared" si="17"/>
        <v>49.581720000000004</v>
      </c>
      <c r="AC92" s="4"/>
      <c r="AD92" s="9">
        <f t="shared" si="18"/>
      </c>
      <c r="AE92" s="4"/>
      <c r="AF92" s="9">
        <f t="shared" si="19"/>
      </c>
      <c r="AG92" s="4"/>
    </row>
    <row r="93" spans="1:33" ht="15.75">
      <c r="A93" s="66" t="s">
        <v>109</v>
      </c>
      <c r="B93" s="87">
        <v>89.11</v>
      </c>
      <c r="C93" s="72">
        <f t="shared" si="0"/>
        <v>6.754538</v>
      </c>
      <c r="D93" s="72">
        <f t="shared" si="1"/>
        <v>1.345561</v>
      </c>
      <c r="E93" s="88">
        <f t="shared" si="2"/>
        <v>0</v>
      </c>
      <c r="F93" s="9">
        <f t="shared" si="3"/>
        <v>163.66961305520002</v>
      </c>
      <c r="G93" s="89">
        <f t="shared" si="4"/>
        <v>163.66961305520002</v>
      </c>
      <c r="H93" s="90">
        <v>130</v>
      </c>
      <c r="I93" s="91"/>
      <c r="J93" s="10"/>
      <c r="K93" s="13"/>
      <c r="L93" s="72">
        <f t="shared" si="5"/>
        <v>4.824843208538975</v>
      </c>
      <c r="M93" s="72">
        <f t="shared" si="6"/>
        <v>2.8770681028854943</v>
      </c>
      <c r="N93" s="88">
        <f t="shared" si="7"/>
        <v>0</v>
      </c>
      <c r="O93" s="9">
        <f t="shared" si="8"/>
        <v>202.44863724807158</v>
      </c>
      <c r="P93" s="89">
        <f t="shared" si="9"/>
        <v>202.44863724807158</v>
      </c>
      <c r="Q93" s="89">
        <f t="shared" si="10"/>
        <v>38.77902419287156</v>
      </c>
      <c r="R93" s="92">
        <f t="shared" si="10"/>
        <v>38.77902419287156</v>
      </c>
      <c r="T93" s="72">
        <f t="shared" si="11"/>
        <v>5.017836936880534</v>
      </c>
      <c r="U93" s="72">
        <f t="shared" si="12"/>
        <v>2.992150827000915</v>
      </c>
      <c r="V93" s="88">
        <f t="shared" si="13"/>
        <v>0</v>
      </c>
      <c r="W93" s="9">
        <f t="shared" si="14"/>
        <v>210.54658273799447</v>
      </c>
      <c r="X93" s="89">
        <f t="shared" si="15"/>
        <v>210.54658273799447</v>
      </c>
      <c r="Y93" s="89">
        <f t="shared" si="16"/>
        <v>46.87696968279445</v>
      </c>
      <c r="Z93" s="92">
        <f t="shared" si="16"/>
        <v>46.87696968279445</v>
      </c>
      <c r="AB93" s="9">
        <f t="shared" si="17"/>
        <v>11.584299999999999</v>
      </c>
      <c r="AC93" s="4"/>
      <c r="AD93" s="9">
        <f t="shared" si="18"/>
      </c>
      <c r="AE93" s="4"/>
      <c r="AF93" s="9">
        <f t="shared" si="19"/>
      </c>
      <c r="AG93" s="4"/>
    </row>
    <row r="94" spans="1:33" ht="15.75">
      <c r="A94" s="102" t="s">
        <v>110</v>
      </c>
      <c r="B94" s="87">
        <v>77.72</v>
      </c>
      <c r="C94" s="72">
        <f t="shared" si="0"/>
        <v>5.891176000000001</v>
      </c>
      <c r="D94" s="72">
        <f t="shared" si="1"/>
        <v>1.173572</v>
      </c>
      <c r="E94" s="88">
        <f t="shared" si="2"/>
        <v>0</v>
      </c>
      <c r="F94" s="9">
        <f t="shared" si="3"/>
        <v>142.74943695040002</v>
      </c>
      <c r="G94" s="89">
        <f t="shared" si="4"/>
        <v>142.74943695040002</v>
      </c>
      <c r="H94" s="90">
        <v>270</v>
      </c>
      <c r="I94" s="91"/>
      <c r="J94" s="10">
        <v>563</v>
      </c>
      <c r="K94" s="13"/>
      <c r="L94" s="72">
        <f t="shared" si="5"/>
        <v>4.208133926244519</v>
      </c>
      <c r="M94" s="72">
        <f t="shared" si="6"/>
        <v>2.5093225559001304</v>
      </c>
      <c r="N94" s="88">
        <f t="shared" si="7"/>
        <v>0</v>
      </c>
      <c r="O94" s="9">
        <f t="shared" si="8"/>
        <v>176.5717437652354</v>
      </c>
      <c r="P94" s="89">
        <f t="shared" si="9"/>
        <v>176.5717437652354</v>
      </c>
      <c r="Q94" s="89">
        <f t="shared" si="10"/>
        <v>33.82230681483537</v>
      </c>
      <c r="R94" s="92">
        <f t="shared" si="10"/>
        <v>33.82230681483537</v>
      </c>
      <c r="T94" s="72">
        <f t="shared" si="11"/>
        <v>4.376459283294301</v>
      </c>
      <c r="U94" s="72">
        <f t="shared" si="12"/>
        <v>2.6096954581361365</v>
      </c>
      <c r="V94" s="88">
        <f t="shared" si="13"/>
        <v>0</v>
      </c>
      <c r="W94" s="9">
        <f t="shared" si="14"/>
        <v>183.63461351584482</v>
      </c>
      <c r="X94" s="89">
        <f t="shared" si="15"/>
        <v>183.63461351584482</v>
      </c>
      <c r="Y94" s="89">
        <f t="shared" si="16"/>
        <v>40.885176565444795</v>
      </c>
      <c r="Z94" s="92">
        <f t="shared" si="16"/>
        <v>40.885176565444795</v>
      </c>
      <c r="AB94" s="9">
        <f t="shared" si="17"/>
        <v>20.9844</v>
      </c>
      <c r="AC94" s="4"/>
      <c r="AD94" s="9">
        <f t="shared" si="18"/>
      </c>
      <c r="AE94" s="4"/>
      <c r="AF94" s="9">
        <f t="shared" si="19"/>
        <v>43.75636</v>
      </c>
      <c r="AG94" s="4"/>
    </row>
    <row r="95" spans="1:33" ht="15.75">
      <c r="A95" s="66" t="s">
        <v>111</v>
      </c>
      <c r="B95" s="87">
        <v>74.7</v>
      </c>
      <c r="C95" s="72">
        <f t="shared" si="0"/>
        <v>5.662260000000001</v>
      </c>
      <c r="D95" s="72">
        <f t="shared" si="1"/>
        <v>1.1279700000000001</v>
      </c>
      <c r="E95" s="88">
        <f t="shared" si="2"/>
        <v>0</v>
      </c>
      <c r="F95" s="9">
        <f t="shared" si="3"/>
        <v>137.20255970400004</v>
      </c>
      <c r="G95" s="89">
        <f t="shared" si="4"/>
        <v>137.20255970400004</v>
      </c>
      <c r="H95" s="90"/>
      <c r="I95" s="91"/>
      <c r="J95" s="10">
        <v>312</v>
      </c>
      <c r="K95" s="13"/>
      <c r="L95" s="72">
        <f t="shared" si="5"/>
        <v>4.044616627514998</v>
      </c>
      <c r="M95" s="72">
        <f t="shared" si="6"/>
        <v>2.4118167128890855</v>
      </c>
      <c r="N95" s="88">
        <f t="shared" si="7"/>
        <v>0</v>
      </c>
      <c r="O95" s="9">
        <f t="shared" si="8"/>
        <v>169.7106183641673</v>
      </c>
      <c r="P95" s="89">
        <f t="shared" si="9"/>
        <v>169.7106183641673</v>
      </c>
      <c r="Q95" s="89">
        <f t="shared" si="10"/>
        <v>32.50805866016725</v>
      </c>
      <c r="R95" s="92">
        <f t="shared" si="10"/>
        <v>32.50805866016725</v>
      </c>
      <c r="T95" s="72">
        <f t="shared" si="11"/>
        <v>4.206401292615598</v>
      </c>
      <c r="U95" s="72">
        <f t="shared" si="12"/>
        <v>2.50828938140465</v>
      </c>
      <c r="V95" s="88">
        <f t="shared" si="13"/>
        <v>0</v>
      </c>
      <c r="W95" s="9">
        <f t="shared" si="14"/>
        <v>176.49904309873403</v>
      </c>
      <c r="X95" s="89">
        <f t="shared" si="15"/>
        <v>176.49904309873403</v>
      </c>
      <c r="Y95" s="89">
        <f t="shared" si="16"/>
        <v>39.296483394734</v>
      </c>
      <c r="Z95" s="92">
        <f t="shared" si="16"/>
        <v>39.296483394734</v>
      </c>
      <c r="AB95" s="9">
        <f t="shared" si="17"/>
      </c>
      <c r="AC95" s="4"/>
      <c r="AD95" s="9">
        <f t="shared" si="18"/>
      </c>
      <c r="AE95" s="4"/>
      <c r="AF95" s="9">
        <f t="shared" si="19"/>
        <v>23.3064</v>
      </c>
      <c r="AG95" s="4"/>
    </row>
    <row r="96" spans="1:33" ht="15.75">
      <c r="A96" s="102" t="s">
        <v>112</v>
      </c>
      <c r="B96" s="87">
        <v>80.2</v>
      </c>
      <c r="C96" s="72">
        <f t="shared" si="0"/>
        <v>6.079160000000001</v>
      </c>
      <c r="D96" s="72">
        <f t="shared" si="1"/>
        <v>1.21102</v>
      </c>
      <c r="E96" s="88">
        <f t="shared" si="2"/>
        <v>0</v>
      </c>
      <c r="F96" s="9">
        <f t="shared" si="3"/>
        <v>147.30448846400003</v>
      </c>
      <c r="G96" s="89">
        <f t="shared" si="4"/>
        <v>147.30448846400003</v>
      </c>
      <c r="H96" s="90"/>
      <c r="I96" s="91"/>
      <c r="J96" s="10">
        <v>378</v>
      </c>
      <c r="K96" s="13"/>
      <c r="L96" s="72">
        <f t="shared" si="5"/>
        <v>4.3424130324859815</v>
      </c>
      <c r="M96" s="72">
        <f t="shared" si="6"/>
        <v>2.5893935792999287</v>
      </c>
      <c r="N96" s="88">
        <f t="shared" si="7"/>
        <v>0</v>
      </c>
      <c r="O96" s="9">
        <f t="shared" si="8"/>
        <v>182.20604541909262</v>
      </c>
      <c r="P96" s="89">
        <f t="shared" si="9"/>
        <v>182.20604541909262</v>
      </c>
      <c r="Q96" s="89">
        <f t="shared" si="10"/>
        <v>34.90155695509259</v>
      </c>
      <c r="R96" s="92">
        <f t="shared" si="10"/>
        <v>34.90155695509259</v>
      </c>
      <c r="T96" s="72">
        <f t="shared" si="11"/>
        <v>4.516109553785421</v>
      </c>
      <c r="U96" s="72">
        <f t="shared" si="12"/>
        <v>2.6929693224719267</v>
      </c>
      <c r="V96" s="88">
        <f t="shared" si="13"/>
        <v>0</v>
      </c>
      <c r="W96" s="9">
        <f t="shared" si="14"/>
        <v>189.49428723585635</v>
      </c>
      <c r="X96" s="89">
        <f t="shared" si="15"/>
        <v>189.49428723585635</v>
      </c>
      <c r="Y96" s="89">
        <f t="shared" si="16"/>
        <v>42.18979877185632</v>
      </c>
      <c r="Z96" s="92">
        <f t="shared" si="16"/>
        <v>42.18979877185632</v>
      </c>
      <c r="AB96" s="9">
        <f t="shared" si="17"/>
      </c>
      <c r="AC96" s="4"/>
      <c r="AD96" s="9">
        <f t="shared" si="18"/>
      </c>
      <c r="AE96" s="4"/>
      <c r="AF96" s="9">
        <f t="shared" si="19"/>
        <v>30.315600000000003</v>
      </c>
      <c r="AG96" s="4"/>
    </row>
    <row r="97" spans="1:33" ht="15.75">
      <c r="A97" s="66" t="s">
        <v>113</v>
      </c>
      <c r="B97" s="87">
        <v>74.28</v>
      </c>
      <c r="C97" s="72">
        <f t="shared" si="0"/>
        <v>5.6304240000000005</v>
      </c>
      <c r="D97" s="72">
        <f t="shared" si="1"/>
        <v>1.121628</v>
      </c>
      <c r="E97" s="88">
        <f t="shared" si="2"/>
        <v>0</v>
      </c>
      <c r="F97" s="9">
        <f t="shared" si="3"/>
        <v>136.4311396896</v>
      </c>
      <c r="G97" s="89">
        <f t="shared" si="4"/>
        <v>136.4311396896</v>
      </c>
      <c r="H97" s="90"/>
      <c r="I97" s="91"/>
      <c r="J97" s="10"/>
      <c r="K97" s="13"/>
      <c r="L97" s="72">
        <f t="shared" si="5"/>
        <v>4.021875811135395</v>
      </c>
      <c r="M97" s="72">
        <f t="shared" si="6"/>
        <v>2.398256297635894</v>
      </c>
      <c r="N97" s="88">
        <f t="shared" si="7"/>
        <v>0</v>
      </c>
      <c r="O97" s="9">
        <f t="shared" si="8"/>
        <v>168.75642211633664</v>
      </c>
      <c r="P97" s="89">
        <f t="shared" si="9"/>
        <v>168.75642211633664</v>
      </c>
      <c r="Q97" s="89">
        <f t="shared" si="10"/>
        <v>32.325282426736635</v>
      </c>
      <c r="R97" s="92">
        <f t="shared" si="10"/>
        <v>32.325282426736635</v>
      </c>
      <c r="T97" s="72">
        <f t="shared" si="11"/>
        <v>4.182750843580811</v>
      </c>
      <c r="U97" s="72">
        <f t="shared" si="12"/>
        <v>2.4941865495413307</v>
      </c>
      <c r="V97" s="88">
        <f t="shared" si="13"/>
        <v>0</v>
      </c>
      <c r="W97" s="9">
        <f t="shared" si="14"/>
        <v>175.50667900099012</v>
      </c>
      <c r="X97" s="89">
        <f t="shared" si="15"/>
        <v>175.50667900099012</v>
      </c>
      <c r="Y97" s="89">
        <f t="shared" si="16"/>
        <v>39.075539311390116</v>
      </c>
      <c r="Z97" s="92">
        <f t="shared" si="16"/>
        <v>39.075539311390116</v>
      </c>
      <c r="AB97" s="9">
        <f t="shared" si="17"/>
      </c>
      <c r="AC97" s="4"/>
      <c r="AD97" s="9">
        <f t="shared" si="18"/>
      </c>
      <c r="AE97" s="4"/>
      <c r="AF97" s="9">
        <f t="shared" si="19"/>
      </c>
      <c r="AG97" s="4"/>
    </row>
    <row r="98" spans="1:33" ht="15.75">
      <c r="A98" s="66" t="s">
        <v>114</v>
      </c>
      <c r="B98" s="87">
        <v>76.89</v>
      </c>
      <c r="C98" s="72">
        <f t="shared" si="0"/>
        <v>5.8282620000000005</v>
      </c>
      <c r="D98" s="72">
        <f t="shared" si="1"/>
        <v>1.1610390000000002</v>
      </c>
      <c r="E98" s="88">
        <f t="shared" si="2"/>
        <v>0</v>
      </c>
      <c r="F98" s="9">
        <f t="shared" si="3"/>
        <v>141.22496406480002</v>
      </c>
      <c r="G98" s="89">
        <f t="shared" si="4"/>
        <v>141.22496406480002</v>
      </c>
      <c r="H98" s="90"/>
      <c r="I98" s="91"/>
      <c r="J98" s="10"/>
      <c r="K98" s="13"/>
      <c r="L98" s="72">
        <f t="shared" si="5"/>
        <v>4.163193741494353</v>
      </c>
      <c r="M98" s="72">
        <f t="shared" si="6"/>
        <v>2.482524592423585</v>
      </c>
      <c r="N98" s="88">
        <f t="shared" si="7"/>
        <v>0</v>
      </c>
      <c r="O98" s="9">
        <f t="shared" si="8"/>
        <v>174.68607022785574</v>
      </c>
      <c r="P98" s="89">
        <f t="shared" si="9"/>
        <v>174.68607022785574</v>
      </c>
      <c r="Q98" s="89">
        <f t="shared" si="10"/>
        <v>33.46110616305572</v>
      </c>
      <c r="R98" s="92">
        <f t="shared" si="10"/>
        <v>33.46110616305572</v>
      </c>
      <c r="T98" s="72">
        <f t="shared" si="11"/>
        <v>4.329721491154127</v>
      </c>
      <c r="U98" s="72">
        <f t="shared" si="12"/>
        <v>2.581825576120529</v>
      </c>
      <c r="V98" s="88">
        <f t="shared" si="13"/>
        <v>0</v>
      </c>
      <c r="W98" s="9">
        <f t="shared" si="14"/>
        <v>181.67351303697</v>
      </c>
      <c r="X98" s="89">
        <f t="shared" si="15"/>
        <v>181.67351303697</v>
      </c>
      <c r="Y98" s="89">
        <f t="shared" si="16"/>
        <v>40.44854897216999</v>
      </c>
      <c r="Z98" s="92">
        <f t="shared" si="16"/>
        <v>40.44854897216999</v>
      </c>
      <c r="AB98" s="9">
        <f t="shared" si="17"/>
      </c>
      <c r="AC98" s="4"/>
      <c r="AD98" s="9">
        <f t="shared" si="18"/>
      </c>
      <c r="AE98" s="4"/>
      <c r="AF98" s="9">
        <f t="shared" si="19"/>
      </c>
      <c r="AG98" s="4"/>
    </row>
    <row r="99" spans="1:33" ht="15.75">
      <c r="A99" s="66" t="s">
        <v>115</v>
      </c>
      <c r="B99" s="87">
        <v>60.33</v>
      </c>
      <c r="C99" s="72">
        <f t="shared" si="0"/>
        <v>4.573014000000001</v>
      </c>
      <c r="D99" s="72">
        <f t="shared" si="1"/>
        <v>0.910983</v>
      </c>
      <c r="E99" s="88">
        <f t="shared" si="2"/>
        <v>0</v>
      </c>
      <c r="F99" s="9">
        <f t="shared" si="3"/>
        <v>110.80897492560001</v>
      </c>
      <c r="G99" s="89">
        <f t="shared" si="4"/>
        <v>110.80897492560001</v>
      </c>
      <c r="H99" s="90"/>
      <c r="I99" s="91"/>
      <c r="J99" s="10"/>
      <c r="K99" s="13"/>
      <c r="L99" s="72">
        <f t="shared" si="5"/>
        <v>3.2665558385271725</v>
      </c>
      <c r="M99" s="72">
        <f t="shared" si="6"/>
        <v>1.9478567910120286</v>
      </c>
      <c r="N99" s="88">
        <f t="shared" si="7"/>
        <v>0</v>
      </c>
      <c r="O99" s="9">
        <f t="shared" si="8"/>
        <v>137.06347531338974</v>
      </c>
      <c r="P99" s="89">
        <f t="shared" si="9"/>
        <v>137.06347531338974</v>
      </c>
      <c r="Q99" s="89">
        <f t="shared" si="10"/>
        <v>26.254500387789733</v>
      </c>
      <c r="R99" s="92">
        <f t="shared" si="10"/>
        <v>26.254500387789733</v>
      </c>
      <c r="T99" s="72">
        <f t="shared" si="11"/>
        <v>3.3972180720682594</v>
      </c>
      <c r="U99" s="72">
        <f t="shared" si="12"/>
        <v>2.02577106265251</v>
      </c>
      <c r="V99" s="88">
        <f t="shared" si="13"/>
        <v>0</v>
      </c>
      <c r="W99" s="9">
        <f t="shared" si="14"/>
        <v>142.54601432592534</v>
      </c>
      <c r="X99" s="89">
        <f t="shared" si="15"/>
        <v>142.54601432592534</v>
      </c>
      <c r="Y99" s="89">
        <f t="shared" si="16"/>
        <v>31.73703940032533</v>
      </c>
      <c r="Z99" s="92">
        <f t="shared" si="16"/>
        <v>31.73703940032533</v>
      </c>
      <c r="AB99" s="9">
        <f t="shared" si="17"/>
      </c>
      <c r="AC99" s="4"/>
      <c r="AD99" s="9">
        <f t="shared" si="18"/>
      </c>
      <c r="AE99" s="4"/>
      <c r="AF99" s="9">
        <f t="shared" si="19"/>
      </c>
      <c r="AG99" s="4"/>
    </row>
    <row r="100" spans="1:33" ht="15.75">
      <c r="A100" s="66" t="s">
        <v>116</v>
      </c>
      <c r="B100" s="87">
        <v>62.5</v>
      </c>
      <c r="C100" s="72">
        <f t="shared" si="0"/>
        <v>4.737500000000001</v>
      </c>
      <c r="D100" s="72">
        <f t="shared" si="1"/>
        <v>0.9437500000000001</v>
      </c>
      <c r="E100" s="88">
        <f t="shared" si="2"/>
        <v>0</v>
      </c>
      <c r="F100" s="9">
        <f t="shared" si="3"/>
        <v>114.79464500000002</v>
      </c>
      <c r="G100" s="89">
        <f t="shared" si="4"/>
        <v>114.79464500000002</v>
      </c>
      <c r="H100" s="90"/>
      <c r="I100" s="91"/>
      <c r="J100" s="10"/>
      <c r="K100" s="13"/>
      <c r="L100" s="72">
        <f t="shared" si="5"/>
        <v>3.3840500564884515</v>
      </c>
      <c r="M100" s="72">
        <f t="shared" si="6"/>
        <v>2.017918936486852</v>
      </c>
      <c r="N100" s="88">
        <f t="shared" si="7"/>
        <v>0</v>
      </c>
      <c r="O100" s="9">
        <f t="shared" si="8"/>
        <v>141.9934892605148</v>
      </c>
      <c r="P100" s="89">
        <f t="shared" si="9"/>
        <v>141.9934892605148</v>
      </c>
      <c r="Q100" s="89">
        <f t="shared" si="10"/>
        <v>27.198844260514775</v>
      </c>
      <c r="R100" s="92">
        <f t="shared" si="10"/>
        <v>27.198844260514775</v>
      </c>
      <c r="T100" s="72">
        <f t="shared" si="11"/>
        <v>3.51941205874799</v>
      </c>
      <c r="U100" s="72">
        <f t="shared" si="12"/>
        <v>2.098635693946327</v>
      </c>
      <c r="V100" s="88">
        <f t="shared" si="13"/>
        <v>0</v>
      </c>
      <c r="W100" s="9">
        <f t="shared" si="14"/>
        <v>147.67322883093544</v>
      </c>
      <c r="X100" s="89">
        <f t="shared" si="15"/>
        <v>147.67322883093544</v>
      </c>
      <c r="Y100" s="89">
        <f t="shared" si="16"/>
        <v>32.878583830935426</v>
      </c>
      <c r="Z100" s="92">
        <f t="shared" si="16"/>
        <v>32.878583830935426</v>
      </c>
      <c r="AB100" s="9">
        <f t="shared" si="17"/>
      </c>
      <c r="AC100" s="4"/>
      <c r="AD100" s="9">
        <f t="shared" si="18"/>
      </c>
      <c r="AE100" s="4"/>
      <c r="AF100" s="9">
        <f t="shared" si="19"/>
      </c>
      <c r="AG100" s="4"/>
    </row>
    <row r="101" spans="1:33" ht="15.75">
      <c r="A101" s="66" t="s">
        <v>117</v>
      </c>
      <c r="B101" s="87">
        <v>82.2</v>
      </c>
      <c r="C101" s="72">
        <f t="shared" si="0"/>
        <v>6.230760000000001</v>
      </c>
      <c r="D101" s="72">
        <f t="shared" si="1"/>
        <v>1.24122</v>
      </c>
      <c r="E101" s="88">
        <f t="shared" si="2"/>
        <v>0</v>
      </c>
      <c r="F101" s="9">
        <f t="shared" si="3"/>
        <v>150.97791710400003</v>
      </c>
      <c r="G101" s="89">
        <f t="shared" si="4"/>
        <v>150.97791710400003</v>
      </c>
      <c r="H101" s="90"/>
      <c r="I101" s="91"/>
      <c r="J101" s="10"/>
      <c r="K101" s="13"/>
      <c r="L101" s="72">
        <f t="shared" si="5"/>
        <v>4.450702634293611</v>
      </c>
      <c r="M101" s="72">
        <f t="shared" si="6"/>
        <v>2.653966985267508</v>
      </c>
      <c r="N101" s="88">
        <f t="shared" si="7"/>
        <v>0</v>
      </c>
      <c r="O101" s="9">
        <f t="shared" si="8"/>
        <v>186.74983707542907</v>
      </c>
      <c r="P101" s="89">
        <f t="shared" si="9"/>
        <v>186.74983707542907</v>
      </c>
      <c r="Q101" s="89">
        <f t="shared" si="10"/>
        <v>35.77191997142904</v>
      </c>
      <c r="R101" s="92">
        <f t="shared" si="10"/>
        <v>35.77191997142904</v>
      </c>
      <c r="T101" s="72">
        <f t="shared" si="11"/>
        <v>4.6287307396653565</v>
      </c>
      <c r="U101" s="72">
        <f t="shared" si="12"/>
        <v>2.7601256646782093</v>
      </c>
      <c r="V101" s="88">
        <f t="shared" si="13"/>
        <v>0</v>
      </c>
      <c r="W101" s="9">
        <f t="shared" si="14"/>
        <v>194.2198305584463</v>
      </c>
      <c r="X101" s="89">
        <f t="shared" si="15"/>
        <v>194.2198305584463</v>
      </c>
      <c r="Y101" s="89">
        <f t="shared" si="16"/>
        <v>43.24191345444626</v>
      </c>
      <c r="Z101" s="92">
        <f t="shared" si="16"/>
        <v>43.24191345444626</v>
      </c>
      <c r="AB101" s="9">
        <f t="shared" si="17"/>
      </c>
      <c r="AC101" s="4"/>
      <c r="AD101" s="9">
        <f t="shared" si="18"/>
      </c>
      <c r="AE101" s="4"/>
      <c r="AF101" s="9">
        <f t="shared" si="19"/>
      </c>
      <c r="AG101" s="4"/>
    </row>
    <row r="102" spans="1:33" ht="15.75">
      <c r="A102" s="66" t="s">
        <v>118</v>
      </c>
      <c r="B102" s="87">
        <v>85.4</v>
      </c>
      <c r="C102" s="72">
        <f t="shared" si="0"/>
        <v>6.473320000000001</v>
      </c>
      <c r="D102" s="72">
        <f t="shared" si="1"/>
        <v>1.2895400000000001</v>
      </c>
      <c r="E102" s="88">
        <f t="shared" si="2"/>
        <v>0</v>
      </c>
      <c r="F102" s="9">
        <f t="shared" si="3"/>
        <v>156.85540292800005</v>
      </c>
      <c r="G102" s="89">
        <f t="shared" si="4"/>
        <v>156.85540292800005</v>
      </c>
      <c r="H102" s="90"/>
      <c r="I102" s="91"/>
      <c r="J102" s="10"/>
      <c r="K102" s="13"/>
      <c r="L102" s="72">
        <f t="shared" si="5"/>
        <v>4.62396599718582</v>
      </c>
      <c r="M102" s="72">
        <f t="shared" si="6"/>
        <v>2.757284434815635</v>
      </c>
      <c r="N102" s="88">
        <f t="shared" si="7"/>
        <v>0</v>
      </c>
      <c r="O102" s="9">
        <f t="shared" si="8"/>
        <v>194.01990372556742</v>
      </c>
      <c r="P102" s="89">
        <f t="shared" si="9"/>
        <v>194.01990372556742</v>
      </c>
      <c r="Q102" s="89">
        <f t="shared" si="10"/>
        <v>37.16450079756737</v>
      </c>
      <c r="R102" s="92">
        <f t="shared" si="10"/>
        <v>37.16450079756737</v>
      </c>
      <c r="T102" s="72">
        <f t="shared" si="11"/>
        <v>4.808924637073254</v>
      </c>
      <c r="U102" s="72">
        <f t="shared" si="12"/>
        <v>2.867575812208261</v>
      </c>
      <c r="V102" s="88">
        <f t="shared" si="13"/>
        <v>0</v>
      </c>
      <c r="W102" s="9">
        <f t="shared" si="14"/>
        <v>201.78069987459017</v>
      </c>
      <c r="X102" s="89">
        <f t="shared" si="15"/>
        <v>201.78069987459017</v>
      </c>
      <c r="Y102" s="89">
        <f t="shared" si="16"/>
        <v>44.92529694659012</v>
      </c>
      <c r="Z102" s="92">
        <f t="shared" si="16"/>
        <v>44.92529694659012</v>
      </c>
      <c r="AB102" s="9">
        <f t="shared" si="17"/>
      </c>
      <c r="AC102" s="4"/>
      <c r="AD102" s="9">
        <f t="shared" si="18"/>
      </c>
      <c r="AE102" s="4"/>
      <c r="AF102" s="9">
        <f t="shared" si="19"/>
      </c>
      <c r="AG102" s="4"/>
    </row>
    <row r="103" spans="1:33" ht="15.75">
      <c r="A103" s="66" t="s">
        <v>119</v>
      </c>
      <c r="B103" s="87">
        <v>80.29</v>
      </c>
      <c r="C103" s="72">
        <f t="shared" si="0"/>
        <v>6.085982000000001</v>
      </c>
      <c r="D103" s="72">
        <f t="shared" si="1"/>
        <v>1.212379</v>
      </c>
      <c r="E103" s="88">
        <f t="shared" si="2"/>
        <v>0</v>
      </c>
      <c r="F103" s="9">
        <f t="shared" si="3"/>
        <v>147.46979275280003</v>
      </c>
      <c r="G103" s="89">
        <f t="shared" si="4"/>
        <v>147.46979275280003</v>
      </c>
      <c r="H103" s="90"/>
      <c r="I103" s="91"/>
      <c r="J103" s="10"/>
      <c r="K103" s="13"/>
      <c r="L103" s="72">
        <f t="shared" si="5"/>
        <v>4.347286064567324</v>
      </c>
      <c r="M103" s="72">
        <f t="shared" si="6"/>
        <v>2.59229938256847</v>
      </c>
      <c r="N103" s="88">
        <f t="shared" si="7"/>
        <v>0</v>
      </c>
      <c r="O103" s="9">
        <f t="shared" si="8"/>
        <v>182.41051604362775</v>
      </c>
      <c r="P103" s="89">
        <f t="shared" si="9"/>
        <v>182.41051604362775</v>
      </c>
      <c r="Q103" s="89">
        <f t="shared" si="10"/>
        <v>34.94072329082772</v>
      </c>
      <c r="R103" s="92">
        <f t="shared" si="10"/>
        <v>34.94072329082772</v>
      </c>
      <c r="T103" s="72">
        <f t="shared" si="11"/>
        <v>4.521177507150018</v>
      </c>
      <c r="U103" s="72">
        <f t="shared" si="12"/>
        <v>2.6959913578712094</v>
      </c>
      <c r="V103" s="88">
        <f t="shared" si="13"/>
        <v>0</v>
      </c>
      <c r="W103" s="9">
        <f t="shared" si="14"/>
        <v>189.7069366853729</v>
      </c>
      <c r="X103" s="89">
        <f t="shared" si="15"/>
        <v>189.7069366853729</v>
      </c>
      <c r="Y103" s="89">
        <f t="shared" si="16"/>
        <v>42.23714393257288</v>
      </c>
      <c r="Z103" s="92">
        <f t="shared" si="16"/>
        <v>42.23714393257288</v>
      </c>
      <c r="AB103" s="9">
        <f t="shared" si="17"/>
      </c>
      <c r="AC103" s="4"/>
      <c r="AD103" s="9">
        <f t="shared" si="18"/>
      </c>
      <c r="AE103" s="4"/>
      <c r="AF103" s="9">
        <f t="shared" si="19"/>
      </c>
      <c r="AG103" s="4"/>
    </row>
    <row r="104" spans="1:33" ht="15.75">
      <c r="A104" s="66" t="s">
        <v>120</v>
      </c>
      <c r="B104" s="87">
        <v>80.65</v>
      </c>
      <c r="C104" s="72">
        <f t="shared" si="0"/>
        <v>6.113270000000001</v>
      </c>
      <c r="D104" s="72">
        <f t="shared" si="1"/>
        <v>1.217815</v>
      </c>
      <c r="E104" s="88">
        <f t="shared" si="2"/>
        <v>0</v>
      </c>
      <c r="F104" s="9">
        <f t="shared" si="3"/>
        <v>148.13100990800004</v>
      </c>
      <c r="G104" s="89">
        <f t="shared" si="4"/>
        <v>148.13100990800004</v>
      </c>
      <c r="H104" s="90"/>
      <c r="I104" s="91"/>
      <c r="J104" s="10"/>
      <c r="K104" s="13"/>
      <c r="L104" s="72">
        <f t="shared" si="5"/>
        <v>4.366778192892698</v>
      </c>
      <c r="M104" s="72">
        <f t="shared" si="6"/>
        <v>2.603922595642634</v>
      </c>
      <c r="N104" s="88">
        <f t="shared" si="7"/>
        <v>0</v>
      </c>
      <c r="O104" s="9">
        <f t="shared" si="8"/>
        <v>183.2283985417683</v>
      </c>
      <c r="P104" s="89">
        <f t="shared" si="9"/>
        <v>183.2283985417683</v>
      </c>
      <c r="Q104" s="89">
        <f t="shared" si="10"/>
        <v>35.097388633768276</v>
      </c>
      <c r="R104" s="92">
        <f t="shared" si="10"/>
        <v>35.097388633768276</v>
      </c>
      <c r="T104" s="72">
        <f t="shared" si="11"/>
        <v>4.541449320608407</v>
      </c>
      <c r="U104" s="72">
        <f t="shared" si="12"/>
        <v>2.70807949946834</v>
      </c>
      <c r="V104" s="88">
        <f t="shared" si="13"/>
        <v>0</v>
      </c>
      <c r="W104" s="9">
        <f t="shared" si="14"/>
        <v>190.5575344834391</v>
      </c>
      <c r="X104" s="89">
        <f t="shared" si="15"/>
        <v>190.5575344834391</v>
      </c>
      <c r="Y104" s="89">
        <f t="shared" si="16"/>
        <v>42.42652457543906</v>
      </c>
      <c r="Z104" s="92">
        <f t="shared" si="16"/>
        <v>42.42652457543906</v>
      </c>
      <c r="AB104" s="9">
        <f t="shared" si="17"/>
      </c>
      <c r="AC104" s="4"/>
      <c r="AD104" s="9">
        <f t="shared" si="18"/>
      </c>
      <c r="AE104" s="4"/>
      <c r="AF104" s="9">
        <f t="shared" si="19"/>
      </c>
      <c r="AG104" s="4"/>
    </row>
    <row r="105" spans="1:33" ht="15.75">
      <c r="A105" s="66" t="s">
        <v>121</v>
      </c>
      <c r="B105" s="87">
        <v>91.85</v>
      </c>
      <c r="C105" s="72">
        <f t="shared" si="0"/>
        <v>6.96223</v>
      </c>
      <c r="D105" s="72">
        <f t="shared" si="1"/>
        <v>1.386935</v>
      </c>
      <c r="E105" s="88">
        <f t="shared" si="2"/>
        <v>0</v>
      </c>
      <c r="F105" s="9">
        <f t="shared" si="3"/>
        <v>168.70221029200002</v>
      </c>
      <c r="G105" s="89">
        <f t="shared" si="4"/>
        <v>168.70221029200002</v>
      </c>
      <c r="H105" s="90"/>
      <c r="I105" s="91"/>
      <c r="J105" s="10"/>
      <c r="K105" s="13"/>
      <c r="L105" s="72">
        <f t="shared" si="5"/>
        <v>4.973199963015428</v>
      </c>
      <c r="M105" s="72">
        <f t="shared" si="6"/>
        <v>2.965533669061078</v>
      </c>
      <c r="N105" s="88">
        <f t="shared" si="7"/>
        <v>0</v>
      </c>
      <c r="O105" s="9">
        <f t="shared" si="8"/>
        <v>208.67363181725256</v>
      </c>
      <c r="P105" s="89">
        <f t="shared" si="9"/>
        <v>208.67363181725256</v>
      </c>
      <c r="Q105" s="89">
        <f t="shared" si="10"/>
        <v>39.97142152525254</v>
      </c>
      <c r="R105" s="92">
        <f t="shared" si="10"/>
        <v>39.97142152525254</v>
      </c>
      <c r="T105" s="72">
        <f t="shared" si="11"/>
        <v>5.172127961536046</v>
      </c>
      <c r="U105" s="72">
        <f t="shared" si="12"/>
        <v>3.0841550158235216</v>
      </c>
      <c r="V105" s="88">
        <f t="shared" si="13"/>
        <v>0</v>
      </c>
      <c r="W105" s="9">
        <f t="shared" si="14"/>
        <v>217.0205770899427</v>
      </c>
      <c r="X105" s="89">
        <f t="shared" si="15"/>
        <v>217.0205770899427</v>
      </c>
      <c r="Y105" s="89">
        <f t="shared" si="16"/>
        <v>48.31836679794267</v>
      </c>
      <c r="Z105" s="92">
        <f t="shared" si="16"/>
        <v>48.31836679794267</v>
      </c>
      <c r="AB105" s="9">
        <f t="shared" si="17"/>
      </c>
      <c r="AC105" s="4"/>
      <c r="AD105" s="9">
        <f t="shared" si="18"/>
      </c>
      <c r="AE105" s="4"/>
      <c r="AF105" s="9">
        <f t="shared" si="19"/>
      </c>
      <c r="AG105" s="4"/>
    </row>
    <row r="106" spans="1:32" ht="15.75">
      <c r="A106" s="64"/>
      <c r="B106" s="64"/>
      <c r="C106" s="17"/>
      <c r="D106" s="17"/>
      <c r="E106" s="20"/>
      <c r="F106" s="18"/>
      <c r="G106" s="93" t="s">
        <v>122</v>
      </c>
      <c r="H106" s="94">
        <f>SUM(H87:H105)</f>
        <v>1440</v>
      </c>
      <c r="I106" s="95">
        <f>SUM(I87:I105)</f>
        <v>1500</v>
      </c>
      <c r="J106" s="96">
        <f>SUM(J87:J105)</f>
        <v>1253</v>
      </c>
      <c r="K106" s="21"/>
      <c r="L106" s="17"/>
      <c r="M106" s="17"/>
      <c r="N106" s="20"/>
      <c r="O106" s="97"/>
      <c r="P106" s="98"/>
      <c r="Q106" s="98"/>
      <c r="R106" s="99"/>
      <c r="T106" s="17"/>
      <c r="U106" s="17"/>
      <c r="V106" s="100"/>
      <c r="W106" s="97"/>
      <c r="X106" s="98"/>
      <c r="Y106" s="98"/>
      <c r="Z106" s="99"/>
      <c r="AB106" s="5">
        <f>SUM(AB87:AB105)*1000/H106</f>
        <v>92.52790972222222</v>
      </c>
      <c r="AD106" s="5">
        <f>SUM(AD87:AD105)*1000/I106</f>
        <v>60.0694</v>
      </c>
      <c r="AF106" s="5">
        <f>SUM(AF87:AF105)*1000/J106</f>
        <v>77.71616919393456</v>
      </c>
    </row>
    <row r="107" spans="1:26" ht="15.75">
      <c r="A107" s="62" t="str">
        <f>H85</f>
        <v>Sochaux</v>
      </c>
      <c r="B107" s="72">
        <f>AB106</f>
        <v>92.52790972222222</v>
      </c>
      <c r="C107" s="72">
        <f>$G$80*$B107/G$79</f>
        <v>7.013615556944445</v>
      </c>
      <c r="D107" s="72">
        <f>$G$81*$B107/G$79</f>
        <v>1.3971714368055557</v>
      </c>
      <c r="E107" s="88">
        <f>IF(H$9="S",C107*(100-H$14)/100+D107*(100-H$22)/100,(C107*H$15+D107*H$23)/100)</f>
        <v>0</v>
      </c>
      <c r="F107" s="9">
        <f>IF(H$8="M",C107*H$18,(C107*H$18)+(D107*H$71))</f>
        <v>169.94733678647282</v>
      </c>
      <c r="G107" s="89">
        <f>IF(H$64=0,F107,F107+C107/H$13*H$75)</f>
        <v>169.94733678647282</v>
      </c>
      <c r="H107" s="89"/>
      <c r="I107" s="92"/>
      <c r="J107" s="9"/>
      <c r="K107" s="13"/>
      <c r="L107" s="72">
        <f>$P$80*$B107/P$79</f>
        <v>5.009905249955911</v>
      </c>
      <c r="M107" s="72">
        <f>$P$81*$B107/P$79</f>
        <v>2.98742113891229</v>
      </c>
      <c r="N107" s="88">
        <f>IF(Q$9="S",L107*(100-Q$14)/100+M107*(100-Q$22)/100,(L107*Q$15+M107*Q$23)/100)</f>
        <v>0</v>
      </c>
      <c r="O107" s="9">
        <f>IF(Q$8="M",L107*Q$18,(L107*Q$18)+(M107*Q$71))</f>
        <v>210.2137720870439</v>
      </c>
      <c r="P107" s="89">
        <f>IF(Q$64=0,O107,O107+L107/Q$13*Q$75)</f>
        <v>210.2137720870439</v>
      </c>
      <c r="Q107" s="89">
        <f aca="true" t="shared" si="20" ref="Q107:R109">O107-F107</f>
        <v>40.26643530057109</v>
      </c>
      <c r="R107" s="92">
        <f t="shared" si="20"/>
        <v>40.26643530057109</v>
      </c>
      <c r="T107" s="72">
        <f>$X$80*$B107/X$79</f>
        <v>5.210301459954148</v>
      </c>
      <c r="U107" s="72">
        <f>$X$81*$B107/X$79</f>
        <v>3.1069179844687826</v>
      </c>
      <c r="V107" s="88">
        <f>IF(Y$9="S",T107*(100-Y$14)/100+U107*(100-Y$22)/100,(T107*Y$15+U107*Y$23)/100)</f>
        <v>0</v>
      </c>
      <c r="W107" s="9">
        <f>IF(Y$8="M",T107*Y$18,(T107*Y$18)+(U107*Y$71))</f>
        <v>218.62232297052572</v>
      </c>
      <c r="X107" s="89">
        <f>IF(Y$64=0,W107,W107+T107/Y$13*Y$75)</f>
        <v>218.62232297052572</v>
      </c>
      <c r="Y107" s="89">
        <f aca="true" t="shared" si="21" ref="Y107:Z109">W107-F107</f>
        <v>48.6749861840529</v>
      </c>
      <c r="Z107" s="92">
        <f t="shared" si="21"/>
        <v>48.6749861840529</v>
      </c>
    </row>
    <row r="108" spans="1:26" ht="15.75">
      <c r="A108" s="62" t="str">
        <f>I85</f>
        <v>Mulh.</v>
      </c>
      <c r="B108" s="72">
        <f>AD106</f>
        <v>60.0694</v>
      </c>
      <c r="C108" s="72">
        <f>$G$80*$B108/G$79</f>
        <v>4.55326052</v>
      </c>
      <c r="D108" s="72">
        <f>$G$81*$B108/G$79</f>
        <v>0.9070479400000001</v>
      </c>
      <c r="E108" s="88">
        <f>IF(H$9="S",C108*(100-H$14)/100+D108*(100-H$22)/100,(C108*H$15+D108*H$23)/100)</f>
        <v>0</v>
      </c>
      <c r="F108" s="9">
        <f>IF(H$8="M",C108*H$18,(C108*H$18)+(D108*H$71))</f>
        <v>110.33032717380802</v>
      </c>
      <c r="G108" s="89">
        <f>IF(H$64=0,F108,F108+C108/H$13*H$75)</f>
        <v>110.33032717380802</v>
      </c>
      <c r="H108" s="89"/>
      <c r="I108" s="92"/>
      <c r="J108" s="9"/>
      <c r="K108" s="13"/>
      <c r="L108" s="72">
        <f>$P$80*$B108/P$79</f>
        <v>3.2524457034116385</v>
      </c>
      <c r="M108" s="72">
        <f>$P$81*$B108/P$79</f>
        <v>1.939442876214453</v>
      </c>
      <c r="N108" s="88">
        <f>IF(Q$9="S",L108*(100-Q$14)/100+M108*(100-Q$22)/100,(L108*Q$15+M108*Q$23)/100)</f>
        <v>0</v>
      </c>
      <c r="O108" s="9">
        <f>IF(Q$8="M",L108*Q$18,(L108*Q$18)+(M108*Q$71))</f>
        <v>136.4714192605691</v>
      </c>
      <c r="P108" s="89">
        <f>IF(Q$64=0,O108,O108+L108/Q$13*Q$75)</f>
        <v>136.4714192605691</v>
      </c>
      <c r="Q108" s="89">
        <f t="shared" si="20"/>
        <v>26.141092086761077</v>
      </c>
      <c r="R108" s="92">
        <f t="shared" si="20"/>
        <v>26.141092086761077</v>
      </c>
      <c r="T108" s="72">
        <f>$X$80*$B108/X$79</f>
        <v>3.3825435315481043</v>
      </c>
      <c r="U108" s="72">
        <f>$X$81*$B108/X$79</f>
        <v>2.017020591263032</v>
      </c>
      <c r="V108" s="88">
        <f>IF(Y$9="S",T108*(100-Y$14)/100+U108*(100-Y$22)/100,(T108*Y$15+U108*Y$23)/100)</f>
        <v>0</v>
      </c>
      <c r="W108" s="9">
        <f>IF(Y$8="M",T108*Y$18,(T108*Y$18)+(U108*Y$71))</f>
        <v>141.93027603099188</v>
      </c>
      <c r="X108" s="89">
        <f>IF(Y$64=0,W108,W108+T108/Y$13*Y$75)</f>
        <v>141.93027603099188</v>
      </c>
      <c r="Y108" s="89">
        <f t="shared" si="21"/>
        <v>31.59994885718386</v>
      </c>
      <c r="Z108" s="92">
        <f t="shared" si="21"/>
        <v>31.59994885718386</v>
      </c>
    </row>
    <row r="109" spans="1:26" ht="15.75">
      <c r="A109" s="62" t="str">
        <f>J85</f>
        <v>Poissy</v>
      </c>
      <c r="B109" s="72">
        <f>AF106</f>
        <v>77.71616919393456</v>
      </c>
      <c r="C109" s="72">
        <f>$G$80*$B109/G$79</f>
        <v>5.89088562490024</v>
      </c>
      <c r="D109" s="72">
        <f>$G$81*$B109/G$79</f>
        <v>1.1735141548284118</v>
      </c>
      <c r="E109" s="88">
        <f>IF(H$9="S",C109*(100-H$14)/100+D109*(100-H$22)/100,(C109*H$15+D109*H$23)/100)</f>
        <v>0</v>
      </c>
      <c r="F109" s="9">
        <f>IF(H$8="M",C109*H$18,(C109*H$18)+(D109*H$71))</f>
        <v>142.74240085404247</v>
      </c>
      <c r="G109" s="89">
        <f>IF(H$64=0,F109,F109+C109/H$13*H$75)</f>
        <v>142.74240085404247</v>
      </c>
      <c r="H109" s="89"/>
      <c r="I109" s="92"/>
      <c r="J109" s="9"/>
      <c r="K109" s="13"/>
      <c r="L109" s="72">
        <f>$P$80*$B109/P$79</f>
        <v>4.207926508012805</v>
      </c>
      <c r="M109" s="72">
        <f>$P$81*$B109/P$79</f>
        <v>2.509198871802507</v>
      </c>
      <c r="N109" s="88">
        <f>IF(Q$9="S",L109*(100-Q$14)/100+M109*(100-Q$22)/100,(L109*Q$15+M109*Q$23)/100)</f>
        <v>0</v>
      </c>
      <c r="O109" s="9">
        <f>IF(Q$8="M",L109*Q$18,(L109*Q$18)+(M109*Q$71))</f>
        <v>176.56304057291678</v>
      </c>
      <c r="P109" s="89">
        <f>IF(Q$64=0,O109,O109+L109/Q$13*Q$75)</f>
        <v>176.56304057291678</v>
      </c>
      <c r="Q109" s="89">
        <f t="shared" si="20"/>
        <v>33.820639718874304</v>
      </c>
      <c r="R109" s="92">
        <f t="shared" si="20"/>
        <v>33.820639718874304</v>
      </c>
      <c r="T109" s="72">
        <f>$X$80*$B109/X$79</f>
        <v>4.376243568333318</v>
      </c>
      <c r="U109" s="72">
        <f>$X$81*$B109/X$79</f>
        <v>2.609566826674608</v>
      </c>
      <c r="V109" s="88">
        <f>IF(Y$9="S",T109*(100-Y$14)/100+U109*(100-Y$22)/100,(T109*Y$15+U109*Y$23)/100)</f>
        <v>0</v>
      </c>
      <c r="W109" s="9">
        <f>IF(Y$8="M",T109*Y$18,(T109*Y$18)+(U109*Y$71))</f>
        <v>183.62556219583348</v>
      </c>
      <c r="X109" s="89">
        <f>IF(Y$64=0,W109,W109+T109/Y$13*Y$75)</f>
        <v>183.62556219583348</v>
      </c>
      <c r="Y109" s="89">
        <f t="shared" si="21"/>
        <v>40.88316134179101</v>
      </c>
      <c r="Z109" s="92">
        <f t="shared" si="21"/>
        <v>40.88316134179101</v>
      </c>
    </row>
    <row r="110" spans="1:26" ht="15.75">
      <c r="A110" s="147" t="s">
        <v>123</v>
      </c>
      <c r="B110" s="15"/>
      <c r="C110" s="15"/>
      <c r="D110" s="15"/>
      <c r="E110" s="15"/>
      <c r="F110" s="15"/>
      <c r="G110" s="101" t="str">
        <f>G5</f>
        <v>RAPS Fonds</v>
      </c>
      <c r="H110" s="15"/>
      <c r="I110" s="15"/>
      <c r="J110" s="15"/>
      <c r="K110" s="15"/>
      <c r="L110" s="15"/>
      <c r="M110" s="15"/>
      <c r="N110" s="15"/>
      <c r="O110" s="15"/>
      <c r="P110" s="101" t="str">
        <f>P5</f>
        <v>RAPS Fonds</v>
      </c>
      <c r="Q110" s="15"/>
      <c r="R110" s="15"/>
      <c r="S110" s="15"/>
      <c r="T110" s="15"/>
      <c r="U110" s="15"/>
      <c r="V110" s="15"/>
      <c r="W110" s="15"/>
      <c r="X110" s="101" t="str">
        <f>X5</f>
        <v>RAPS Fonds</v>
      </c>
      <c r="Y110" s="15"/>
      <c r="Z110" s="15"/>
    </row>
  </sheetData>
  <printOptions/>
  <pageMargins left="0.197" right="0.197" top="0.591" bottom="0.197" header="0.4921259845" footer="0.4921259845"/>
  <pageSetup fitToHeight="0" fitToWidth="1" horizontalDpi="300" verticalDpi="300" orientation="landscape" paperSize="9" scale="59" r:id="rId1"/>
  <headerFooter alignWithMargins="0">
    <oddHeader>&amp;C&amp;R Page &amp;P</oddHeader>
  </headerFooter>
  <rowBreaks count="1" manualBreakCount="1">
    <brk id="5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10"/>
  <sheetViews>
    <sheetView zoomScale="50" zoomScaleNormal="50" workbookViewId="0" topLeftCell="A1">
      <selection activeCell="A3" sqref="A3"/>
    </sheetView>
  </sheetViews>
  <sheetFormatPr defaultColWidth="9.77734375" defaultRowHeight="15.75"/>
  <cols>
    <col min="1" max="1" width="9.77734375" style="0" customWidth="1"/>
    <col min="2" max="9" width="7.77734375" style="0" customWidth="1"/>
    <col min="10" max="10" width="5.77734375" style="0" customWidth="1"/>
    <col min="11" max="11" width="2.77734375" style="0" customWidth="1"/>
    <col min="12" max="18" width="7.77734375" style="0" customWidth="1"/>
    <col min="19" max="19" width="2.77734375" style="0" customWidth="1"/>
    <col min="20" max="26" width="7.77734375" style="0" customWidth="1"/>
    <col min="27" max="33" width="8.77734375" style="0" customWidth="1"/>
  </cols>
  <sheetData>
    <row r="1" ht="15.75">
      <c r="A1" s="35" t="s">
        <v>0</v>
      </c>
    </row>
    <row r="2" spans="1:13" ht="19.5">
      <c r="A2" s="2">
        <f ca="1">TRUNC(NOW())</f>
        <v>42721</v>
      </c>
      <c r="B2" s="1" t="s">
        <v>1</v>
      </c>
      <c r="G2" s="34"/>
      <c r="M2" s="36" t="s">
        <v>2</v>
      </c>
    </row>
    <row r="3" spans="1:2" ht="15.75">
      <c r="A3" s="103" t="s">
        <v>389</v>
      </c>
      <c r="B3" s="1" t="s">
        <v>3</v>
      </c>
    </row>
    <row r="5" spans="1:256" ht="15.75">
      <c r="A5" s="37"/>
      <c r="B5" s="38"/>
      <c r="C5" s="39" t="s">
        <v>4</v>
      </c>
      <c r="D5" s="40"/>
      <c r="E5" s="40"/>
      <c r="F5" s="40"/>
      <c r="G5" s="41" t="s">
        <v>124</v>
      </c>
      <c r="H5" s="40"/>
      <c r="I5" s="38"/>
      <c r="J5" s="42"/>
      <c r="K5" s="42"/>
      <c r="L5" s="41" t="s">
        <v>4</v>
      </c>
      <c r="M5" s="40"/>
      <c r="N5" s="40"/>
      <c r="O5" s="40"/>
      <c r="P5" s="41" t="s">
        <v>124</v>
      </c>
      <c r="Q5" s="40"/>
      <c r="R5" s="38"/>
      <c r="S5" s="42"/>
      <c r="T5" s="41" t="s">
        <v>4</v>
      </c>
      <c r="U5" s="40"/>
      <c r="V5" s="40"/>
      <c r="W5" s="40"/>
      <c r="X5" s="41" t="s">
        <v>125</v>
      </c>
      <c r="Y5" s="40"/>
      <c r="Z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6" ht="20.25" thickBot="1">
      <c r="A6" s="43" t="s">
        <v>126</v>
      </c>
      <c r="B6" s="44"/>
      <c r="C6" s="35" t="s">
        <v>7</v>
      </c>
      <c r="D6" s="24"/>
      <c r="E6" s="24"/>
      <c r="F6" s="24"/>
      <c r="G6" s="45" t="s">
        <v>127</v>
      </c>
      <c r="H6" s="42"/>
      <c r="I6" s="44"/>
      <c r="J6" s="46"/>
      <c r="K6" s="24"/>
      <c r="L6" s="47" t="s">
        <v>7</v>
      </c>
      <c r="M6" s="24"/>
      <c r="N6" s="24"/>
      <c r="O6" s="24"/>
      <c r="P6" s="45" t="s">
        <v>8</v>
      </c>
      <c r="Q6" s="42"/>
      <c r="R6" s="44"/>
      <c r="S6" s="24"/>
      <c r="T6" s="47" t="s">
        <v>7</v>
      </c>
      <c r="U6" s="24"/>
      <c r="V6" s="24"/>
      <c r="W6" s="24"/>
      <c r="X6" s="45" t="s">
        <v>8</v>
      </c>
      <c r="Y6" s="42"/>
      <c r="Z6" s="28"/>
    </row>
    <row r="7" spans="1:26" ht="15.75">
      <c r="A7" s="48"/>
      <c r="B7" s="49"/>
      <c r="C7" s="50" t="s">
        <v>10</v>
      </c>
      <c r="D7" s="26"/>
      <c r="E7" s="26"/>
      <c r="F7" s="26"/>
      <c r="G7" s="51" t="s">
        <v>128</v>
      </c>
      <c r="H7" s="52"/>
      <c r="I7" s="49"/>
      <c r="J7" s="24"/>
      <c r="K7" s="24"/>
      <c r="L7" s="53" t="s">
        <v>10</v>
      </c>
      <c r="M7" s="26"/>
      <c r="N7" s="26"/>
      <c r="O7" s="26"/>
      <c r="P7" s="51" t="s">
        <v>129</v>
      </c>
      <c r="Q7" s="52"/>
      <c r="R7" s="49"/>
      <c r="S7" s="24"/>
      <c r="T7" s="47" t="s">
        <v>10</v>
      </c>
      <c r="U7" s="24"/>
      <c r="V7" s="24"/>
      <c r="W7" s="24"/>
      <c r="X7" s="45" t="s">
        <v>130</v>
      </c>
      <c r="Y7" s="42"/>
      <c r="Z7" s="28"/>
    </row>
    <row r="8" spans="1:26" ht="15.75">
      <c r="A8" s="14"/>
      <c r="B8" s="15"/>
      <c r="C8" s="54" t="s">
        <v>12</v>
      </c>
      <c r="D8" s="15"/>
      <c r="E8" s="15"/>
      <c r="F8" s="15"/>
      <c r="G8" s="15"/>
      <c r="H8" s="41" t="s">
        <v>131</v>
      </c>
      <c r="I8" s="16"/>
      <c r="L8" s="55" t="s">
        <v>12</v>
      </c>
      <c r="Q8" s="45" t="s">
        <v>131</v>
      </c>
      <c r="R8" s="13"/>
      <c r="T8" s="56" t="s">
        <v>12</v>
      </c>
      <c r="U8" s="15"/>
      <c r="V8" s="15"/>
      <c r="W8" s="15"/>
      <c r="X8" s="15"/>
      <c r="Y8" s="41" t="s">
        <v>131</v>
      </c>
      <c r="Z8" s="16"/>
    </row>
    <row r="9" spans="1:26" ht="15.75">
      <c r="A9" s="17"/>
      <c r="B9" s="18"/>
      <c r="C9" s="57" t="s">
        <v>14</v>
      </c>
      <c r="D9" s="18"/>
      <c r="E9" s="18"/>
      <c r="F9" s="18"/>
      <c r="G9" s="18"/>
      <c r="H9" s="51" t="s">
        <v>132</v>
      </c>
      <c r="I9" s="19"/>
      <c r="L9" s="58" t="s">
        <v>14</v>
      </c>
      <c r="M9" s="18"/>
      <c r="N9" s="18"/>
      <c r="O9" s="18"/>
      <c r="P9" s="18"/>
      <c r="Q9" s="51" t="s">
        <v>132</v>
      </c>
      <c r="R9" s="19"/>
      <c r="T9" s="58" t="s">
        <v>14</v>
      </c>
      <c r="U9" s="18"/>
      <c r="V9" s="18"/>
      <c r="W9" s="18"/>
      <c r="X9" s="18"/>
      <c r="Y9" s="51" t="s">
        <v>132</v>
      </c>
      <c r="Z9" s="19"/>
    </row>
    <row r="10" spans="1:26" ht="15.75">
      <c r="A10" s="59" t="s">
        <v>16</v>
      </c>
      <c r="B10" s="22"/>
      <c r="C10" s="15"/>
      <c r="D10" s="15"/>
      <c r="E10" s="15"/>
      <c r="F10" s="15"/>
      <c r="G10" s="15"/>
      <c r="H10" s="14"/>
      <c r="I10" s="16"/>
      <c r="L10" s="47" t="s">
        <v>16</v>
      </c>
      <c r="M10" s="24"/>
      <c r="N10" s="24"/>
      <c r="O10" s="24"/>
      <c r="P10" s="24"/>
      <c r="Q10" s="60"/>
      <c r="R10" s="28"/>
      <c r="S10" s="24"/>
      <c r="T10" s="47" t="s">
        <v>16</v>
      </c>
      <c r="U10" s="24"/>
      <c r="Y10" s="61"/>
      <c r="Z10" s="13"/>
    </row>
    <row r="11" spans="1:26" ht="15.75">
      <c r="A11" s="23"/>
      <c r="B11" s="24"/>
      <c r="C11" s="1" t="s">
        <v>17</v>
      </c>
      <c r="H11" s="62">
        <f>IF(H9="O",0.985,0.9)</f>
        <v>0.9</v>
      </c>
      <c r="I11" s="13"/>
      <c r="L11" s="55" t="s">
        <v>17</v>
      </c>
      <c r="Q11" s="61">
        <f>IF(Q9="O",0.985,0.9)</f>
        <v>0.9</v>
      </c>
      <c r="R11" s="13"/>
      <c r="T11" s="55" t="s">
        <v>17</v>
      </c>
      <c r="Y11" s="61">
        <f>IF(Y9="O",0.985,0.9)</f>
        <v>0.9</v>
      </c>
      <c r="Z11" s="13"/>
    </row>
    <row r="12" spans="1:26" ht="15.75">
      <c r="A12" s="23"/>
      <c r="B12" s="35" t="s">
        <v>18</v>
      </c>
      <c r="H12" s="61"/>
      <c r="I12" s="13"/>
      <c r="L12" s="47" t="s">
        <v>18</v>
      </c>
      <c r="M12" s="24"/>
      <c r="N12" s="24"/>
      <c r="O12" s="24"/>
      <c r="P12" s="24"/>
      <c r="Q12" s="60"/>
      <c r="R12" s="28"/>
      <c r="S12" s="24"/>
      <c r="T12" s="47" t="s">
        <v>18</v>
      </c>
      <c r="Y12" s="61"/>
      <c r="Z12" s="13"/>
    </row>
    <row r="13" spans="1:26" ht="15.75">
      <c r="A13" s="23"/>
      <c r="B13" s="24"/>
      <c r="C13" s="1" t="s">
        <v>19</v>
      </c>
      <c r="H13" s="61">
        <v>0.96</v>
      </c>
      <c r="I13" s="13"/>
      <c r="L13" s="55" t="s">
        <v>19</v>
      </c>
      <c r="Q13" s="61">
        <v>1.05</v>
      </c>
      <c r="R13" s="13"/>
      <c r="T13" s="55" t="s">
        <v>19</v>
      </c>
      <c r="Y13" s="61">
        <v>0.96</v>
      </c>
      <c r="Z13" s="13"/>
    </row>
    <row r="14" spans="1:26" ht="15.75">
      <c r="A14" s="23"/>
      <c r="B14" s="24"/>
      <c r="C14" s="1" t="s">
        <v>20</v>
      </c>
      <c r="H14" s="61">
        <v>32</v>
      </c>
      <c r="I14" s="63" t="s">
        <v>21</v>
      </c>
      <c r="L14" s="55" t="s">
        <v>20</v>
      </c>
      <c r="Q14" s="61">
        <v>36</v>
      </c>
      <c r="R14" s="63" t="s">
        <v>21</v>
      </c>
      <c r="T14" s="55" t="s">
        <v>20</v>
      </c>
      <c r="Y14" s="61">
        <v>30.1</v>
      </c>
      <c r="Z14" s="63" t="s">
        <v>21</v>
      </c>
    </row>
    <row r="15" spans="1:26" ht="15.75">
      <c r="A15" s="23"/>
      <c r="B15" s="24"/>
      <c r="C15" s="1" t="s">
        <v>22</v>
      </c>
      <c r="H15" s="61"/>
      <c r="I15" s="63" t="s">
        <v>21</v>
      </c>
      <c r="L15" s="55" t="s">
        <v>22</v>
      </c>
      <c r="Q15" s="61"/>
      <c r="R15" s="63" t="s">
        <v>21</v>
      </c>
      <c r="T15" s="55" t="s">
        <v>22</v>
      </c>
      <c r="Y15" s="61"/>
      <c r="Z15" s="63" t="s">
        <v>21</v>
      </c>
    </row>
    <row r="16" spans="1:26" ht="15.75">
      <c r="A16" s="23"/>
      <c r="B16" s="24"/>
      <c r="C16" s="1" t="s">
        <v>23</v>
      </c>
      <c r="H16" s="61">
        <v>90.27</v>
      </c>
      <c r="I16" s="13"/>
      <c r="L16" s="55" t="s">
        <v>23</v>
      </c>
      <c r="Q16" s="61">
        <v>46.55</v>
      </c>
      <c r="R16" s="13"/>
      <c r="T16" s="55" t="s">
        <v>23</v>
      </c>
      <c r="Y16" s="61">
        <v>91.38</v>
      </c>
      <c r="Z16" s="13"/>
    </row>
    <row r="17" spans="1:26" ht="15.75">
      <c r="A17" s="23"/>
      <c r="B17" s="24"/>
      <c r="C17" s="1" t="s">
        <v>24</v>
      </c>
      <c r="H17" s="61"/>
      <c r="I17" s="13"/>
      <c r="L17" s="55" t="s">
        <v>24</v>
      </c>
      <c r="Q17" s="61"/>
      <c r="R17" s="13"/>
      <c r="T17" s="55" t="s">
        <v>24</v>
      </c>
      <c r="Y17" s="61"/>
      <c r="Z17" s="13"/>
    </row>
    <row r="18" spans="1:26" ht="15.75">
      <c r="A18" s="23"/>
      <c r="B18" s="24"/>
      <c r="C18" s="1" t="s">
        <v>25</v>
      </c>
      <c r="H18" s="61">
        <f>H16+H17</f>
        <v>90.27</v>
      </c>
      <c r="I18" s="63" t="s">
        <v>26</v>
      </c>
      <c r="L18" s="55" t="s">
        <v>25</v>
      </c>
      <c r="Q18" s="61">
        <f>Q16+Q17</f>
        <v>46.55</v>
      </c>
      <c r="R18" s="63" t="s">
        <v>26</v>
      </c>
      <c r="T18" s="55" t="s">
        <v>25</v>
      </c>
      <c r="Y18" s="61">
        <f>Y16+Y17</f>
        <v>91.38</v>
      </c>
      <c r="Z18" s="63" t="s">
        <v>26</v>
      </c>
    </row>
    <row r="19" spans="1:26" ht="15.75">
      <c r="A19" s="23"/>
      <c r="B19" s="24"/>
      <c r="H19" s="61"/>
      <c r="I19" s="13"/>
      <c r="L19" s="12"/>
      <c r="Q19" s="61"/>
      <c r="R19" s="13"/>
      <c r="T19" s="12"/>
      <c r="Y19" s="61"/>
      <c r="Z19" s="13"/>
    </row>
    <row r="20" spans="1:26" ht="15.75">
      <c r="A20" s="23"/>
      <c r="B20" s="35" t="s">
        <v>27</v>
      </c>
      <c r="H20" s="61"/>
      <c r="I20" s="13"/>
      <c r="L20" s="47" t="s">
        <v>27</v>
      </c>
      <c r="M20" s="24"/>
      <c r="N20" s="24"/>
      <c r="O20" s="24"/>
      <c r="P20" s="24"/>
      <c r="Q20" s="60"/>
      <c r="R20" s="13"/>
      <c r="S20" s="24"/>
      <c r="T20" s="47" t="s">
        <v>27</v>
      </c>
      <c r="Y20" s="61"/>
      <c r="Z20" s="13"/>
    </row>
    <row r="21" spans="1:26" ht="15.75">
      <c r="A21" s="23"/>
      <c r="B21" s="24"/>
      <c r="C21" s="1" t="s">
        <v>19</v>
      </c>
      <c r="H21" s="61"/>
      <c r="I21" s="13"/>
      <c r="L21" s="55" t="s">
        <v>19</v>
      </c>
      <c r="Q21" s="61"/>
      <c r="R21" s="13"/>
      <c r="T21" s="55" t="s">
        <v>19</v>
      </c>
      <c r="Y21" s="61"/>
      <c r="Z21" s="13"/>
    </row>
    <row r="22" spans="1:26" ht="15.75">
      <c r="A22" s="23"/>
      <c r="B22" s="24"/>
      <c r="C22" s="1" t="s">
        <v>20</v>
      </c>
      <c r="H22" s="61"/>
      <c r="I22" s="63" t="s">
        <v>21</v>
      </c>
      <c r="L22" s="55" t="s">
        <v>20</v>
      </c>
      <c r="Q22" s="61"/>
      <c r="R22" s="63" t="s">
        <v>21</v>
      </c>
      <c r="T22" s="55" t="s">
        <v>20</v>
      </c>
      <c r="Y22" s="61"/>
      <c r="Z22" s="63" t="s">
        <v>21</v>
      </c>
    </row>
    <row r="23" spans="1:26" ht="15.75">
      <c r="A23" s="23"/>
      <c r="B23" s="24"/>
      <c r="C23" s="1" t="s">
        <v>22</v>
      </c>
      <c r="H23" s="61"/>
      <c r="I23" s="63" t="s">
        <v>21</v>
      </c>
      <c r="L23" s="55" t="s">
        <v>22</v>
      </c>
      <c r="Q23" s="61"/>
      <c r="R23" s="63" t="s">
        <v>21</v>
      </c>
      <c r="T23" s="55" t="s">
        <v>22</v>
      </c>
      <c r="Y23" s="61"/>
      <c r="Z23" s="63" t="s">
        <v>21</v>
      </c>
    </row>
    <row r="24" spans="1:26" ht="15.75">
      <c r="A24" s="23"/>
      <c r="B24" s="24"/>
      <c r="C24" s="1" t="s">
        <v>23</v>
      </c>
      <c r="H24" s="61"/>
      <c r="I24" s="63" t="s">
        <v>26</v>
      </c>
      <c r="L24" s="55" t="s">
        <v>23</v>
      </c>
      <c r="Q24" s="61"/>
      <c r="R24" s="63" t="s">
        <v>26</v>
      </c>
      <c r="T24" s="55" t="s">
        <v>23</v>
      </c>
      <c r="Y24" s="61"/>
      <c r="Z24" s="63" t="s">
        <v>26</v>
      </c>
    </row>
    <row r="25" spans="1:26" ht="15.75">
      <c r="A25" s="23"/>
      <c r="B25" s="24"/>
      <c r="C25" s="1" t="s">
        <v>28</v>
      </c>
      <c r="H25" s="61">
        <f>IF(H24=0,"",H24+H17)</f>
      </c>
      <c r="I25" s="63" t="s">
        <v>26</v>
      </c>
      <c r="L25" s="55" t="s">
        <v>28</v>
      </c>
      <c r="Q25" s="61">
        <f>IF(Q24=0,"",Q24+Q17)</f>
      </c>
      <c r="R25" s="63" t="s">
        <v>26</v>
      </c>
      <c r="T25" s="55" t="s">
        <v>28</v>
      </c>
      <c r="Y25" s="61">
        <f>IF(Y24=0,"",Y24+Y17)</f>
      </c>
      <c r="Z25" s="63" t="s">
        <v>26</v>
      </c>
    </row>
    <row r="26" spans="1:26" ht="15.75">
      <c r="A26" s="23"/>
      <c r="B26" s="24"/>
      <c r="H26" s="61"/>
      <c r="I26" s="13"/>
      <c r="L26" s="12"/>
      <c r="Q26" s="61"/>
      <c r="R26" s="13"/>
      <c r="T26" s="12"/>
      <c r="Y26" s="61"/>
      <c r="Z26" s="13"/>
    </row>
    <row r="27" spans="1:26" ht="15.75">
      <c r="A27" s="23"/>
      <c r="B27" s="24"/>
      <c r="C27" s="1" t="s">
        <v>29</v>
      </c>
      <c r="H27" s="61"/>
      <c r="I27" s="13"/>
      <c r="L27" s="55" t="s">
        <v>133</v>
      </c>
      <c r="Q27" s="61"/>
      <c r="R27" s="13"/>
      <c r="T27" s="55" t="s">
        <v>133</v>
      </c>
      <c r="Y27" s="61"/>
      <c r="Z27" s="13"/>
    </row>
    <row r="28" spans="1:26" ht="15.75">
      <c r="A28" s="25"/>
      <c r="B28" s="26"/>
      <c r="C28" s="57" t="s">
        <v>30</v>
      </c>
      <c r="D28" s="18"/>
      <c r="E28" s="18"/>
      <c r="F28" s="18"/>
      <c r="G28" s="18"/>
      <c r="H28" s="64"/>
      <c r="I28" s="19"/>
      <c r="L28" s="58" t="s">
        <v>30</v>
      </c>
      <c r="M28" s="18"/>
      <c r="N28" s="18"/>
      <c r="O28" s="18"/>
      <c r="P28" s="18"/>
      <c r="Q28" s="64"/>
      <c r="R28" s="19"/>
      <c r="T28" s="58" t="s">
        <v>30</v>
      </c>
      <c r="U28" s="18"/>
      <c r="V28" s="18"/>
      <c r="W28" s="18"/>
      <c r="X28" s="18"/>
      <c r="Y28" s="64"/>
      <c r="Z28" s="19"/>
    </row>
    <row r="29" spans="1:26" ht="15.75">
      <c r="A29" s="59" t="s">
        <v>31</v>
      </c>
      <c r="B29" s="22"/>
      <c r="C29" s="15"/>
      <c r="D29" s="15"/>
      <c r="E29" s="15"/>
      <c r="F29" s="15"/>
      <c r="G29" s="15"/>
      <c r="H29" s="65"/>
      <c r="I29" s="16"/>
      <c r="L29" s="47" t="s">
        <v>31</v>
      </c>
      <c r="M29" s="24"/>
      <c r="N29" s="24"/>
      <c r="O29" s="24"/>
      <c r="P29" s="24"/>
      <c r="Q29" s="60"/>
      <c r="R29" s="13"/>
      <c r="S29" s="24"/>
      <c r="T29" s="47" t="s">
        <v>31</v>
      </c>
      <c r="U29" s="24"/>
      <c r="Y29" s="61"/>
      <c r="Z29" s="13"/>
    </row>
    <row r="30" spans="1:26" ht="15.75">
      <c r="A30" s="23"/>
      <c r="B30" s="35" t="s">
        <v>32</v>
      </c>
      <c r="H30" s="66" t="s">
        <v>134</v>
      </c>
      <c r="I30" s="13"/>
      <c r="L30" s="47" t="s">
        <v>32</v>
      </c>
      <c r="N30" s="24"/>
      <c r="O30" s="24"/>
      <c r="P30" s="24"/>
      <c r="Q30" s="66" t="s">
        <v>135</v>
      </c>
      <c r="R30" s="13"/>
      <c r="S30" s="24"/>
      <c r="T30" s="47" t="s">
        <v>32</v>
      </c>
      <c r="Y30" s="66" t="s">
        <v>136</v>
      </c>
      <c r="Z30" s="13"/>
    </row>
    <row r="31" spans="1:26" ht="15.75">
      <c r="A31" s="23"/>
      <c r="B31" s="24"/>
      <c r="C31" s="1" t="s">
        <v>33</v>
      </c>
      <c r="H31" s="61">
        <v>40</v>
      </c>
      <c r="I31" s="63" t="s">
        <v>21</v>
      </c>
      <c r="L31" s="23"/>
      <c r="M31" s="1" t="s">
        <v>33</v>
      </c>
      <c r="Q31" s="61">
        <v>37</v>
      </c>
      <c r="R31" s="63" t="s">
        <v>21</v>
      </c>
      <c r="T31" s="23"/>
      <c r="U31" s="1" t="s">
        <v>33</v>
      </c>
      <c r="Y31" s="61"/>
      <c r="Z31" s="63" t="s">
        <v>21</v>
      </c>
    </row>
    <row r="32" spans="1:26" ht="15.75">
      <c r="A32" s="23"/>
      <c r="B32" s="24"/>
      <c r="C32" s="1" t="s">
        <v>34</v>
      </c>
      <c r="H32" s="61"/>
      <c r="I32" s="63" t="s">
        <v>21</v>
      </c>
      <c r="L32" s="23"/>
      <c r="M32" s="1" t="s">
        <v>34</v>
      </c>
      <c r="Q32" s="61"/>
      <c r="R32" s="63" t="s">
        <v>21</v>
      </c>
      <c r="T32" s="23"/>
      <c r="U32" s="1" t="s">
        <v>34</v>
      </c>
      <c r="Y32" s="61">
        <v>36</v>
      </c>
      <c r="Z32" s="63" t="s">
        <v>21</v>
      </c>
    </row>
    <row r="33" spans="1:26" ht="15.75">
      <c r="A33" s="23"/>
      <c r="B33" s="24"/>
      <c r="C33" s="1" t="s">
        <v>35</v>
      </c>
      <c r="H33" s="61">
        <v>0.804</v>
      </c>
      <c r="I33" s="13"/>
      <c r="L33" s="23"/>
      <c r="M33" s="1" t="s">
        <v>35</v>
      </c>
      <c r="Q33" s="61">
        <v>0.869</v>
      </c>
      <c r="R33" s="13"/>
      <c r="T33" s="23"/>
      <c r="U33" s="1" t="s">
        <v>35</v>
      </c>
      <c r="Y33" s="61">
        <v>0.869</v>
      </c>
      <c r="Z33" s="13"/>
    </row>
    <row r="34" spans="1:26" ht="15.75">
      <c r="A34" s="23"/>
      <c r="B34" s="24"/>
      <c r="C34" s="1" t="s">
        <v>36</v>
      </c>
      <c r="H34" s="61">
        <v>4.8</v>
      </c>
      <c r="I34" s="63" t="s">
        <v>37</v>
      </c>
      <c r="L34" s="23"/>
      <c r="M34" s="1" t="s">
        <v>36</v>
      </c>
      <c r="Q34" s="61">
        <v>5.71</v>
      </c>
      <c r="R34" s="63" t="s">
        <v>37</v>
      </c>
      <c r="T34" s="23"/>
      <c r="U34" s="1" t="s">
        <v>36</v>
      </c>
      <c r="Y34" s="61">
        <v>4.553</v>
      </c>
      <c r="Z34" s="63" t="s">
        <v>37</v>
      </c>
    </row>
    <row r="35" spans="1:26" ht="15.75">
      <c r="A35" s="23"/>
      <c r="B35" s="24"/>
      <c r="C35" s="1" t="s">
        <v>38</v>
      </c>
      <c r="H35" s="61"/>
      <c r="I35" s="63" t="s">
        <v>26</v>
      </c>
      <c r="L35" s="23"/>
      <c r="M35" s="1" t="s">
        <v>38</v>
      </c>
      <c r="Q35" s="61"/>
      <c r="R35" s="63" t="s">
        <v>26</v>
      </c>
      <c r="T35" s="23"/>
      <c r="U35" s="1" t="s">
        <v>38</v>
      </c>
      <c r="Y35" s="61"/>
      <c r="Z35" s="63" t="s">
        <v>26</v>
      </c>
    </row>
    <row r="36" spans="1:26" ht="15.75">
      <c r="A36" s="23"/>
      <c r="B36" s="35" t="s">
        <v>39</v>
      </c>
      <c r="H36" s="61"/>
      <c r="I36" s="13"/>
      <c r="L36" s="47" t="s">
        <v>39</v>
      </c>
      <c r="N36" s="24"/>
      <c r="O36" s="24"/>
      <c r="Q36" s="61"/>
      <c r="R36" s="13"/>
      <c r="T36" s="47" t="s">
        <v>39</v>
      </c>
      <c r="Y36" s="61"/>
      <c r="Z36" s="13"/>
    </row>
    <row r="37" spans="1:26" ht="15.75">
      <c r="A37" s="23"/>
      <c r="B37" s="24"/>
      <c r="C37" s="1" t="s">
        <v>33</v>
      </c>
      <c r="H37" s="61"/>
      <c r="I37" s="63" t="s">
        <v>21</v>
      </c>
      <c r="L37" s="23"/>
      <c r="M37" s="1" t="s">
        <v>33</v>
      </c>
      <c r="Q37" s="61"/>
      <c r="R37" s="63" t="s">
        <v>21</v>
      </c>
      <c r="T37" s="23"/>
      <c r="U37" s="1" t="s">
        <v>33</v>
      </c>
      <c r="Y37" s="61"/>
      <c r="Z37" s="63" t="s">
        <v>21</v>
      </c>
    </row>
    <row r="38" spans="1:26" ht="15.75">
      <c r="A38" s="23"/>
      <c r="B38" s="24"/>
      <c r="C38" s="1" t="s">
        <v>34</v>
      </c>
      <c r="H38" s="61"/>
      <c r="I38" s="63" t="s">
        <v>21</v>
      </c>
      <c r="L38" s="23"/>
      <c r="M38" s="1" t="s">
        <v>34</v>
      </c>
      <c r="Q38" s="61"/>
      <c r="R38" s="63" t="s">
        <v>21</v>
      </c>
      <c r="T38" s="23"/>
      <c r="U38" s="1" t="s">
        <v>34</v>
      </c>
      <c r="Y38" s="61"/>
      <c r="Z38" s="63" t="s">
        <v>21</v>
      </c>
    </row>
    <row r="39" spans="1:26" ht="15.75">
      <c r="A39" s="23"/>
      <c r="B39" s="24"/>
      <c r="C39" s="1" t="s">
        <v>35</v>
      </c>
      <c r="H39" s="61"/>
      <c r="I39" s="13"/>
      <c r="L39" s="23"/>
      <c r="M39" s="1" t="s">
        <v>35</v>
      </c>
      <c r="Q39" s="61"/>
      <c r="R39" s="13"/>
      <c r="T39" s="23"/>
      <c r="U39" s="1" t="s">
        <v>35</v>
      </c>
      <c r="Y39" s="61"/>
      <c r="Z39" s="13"/>
    </row>
    <row r="40" spans="1:26" ht="15.75">
      <c r="A40" s="23"/>
      <c r="B40" s="24"/>
      <c r="C40" s="1" t="s">
        <v>36</v>
      </c>
      <c r="H40" s="61"/>
      <c r="I40" s="63" t="s">
        <v>37</v>
      </c>
      <c r="L40" s="23"/>
      <c r="M40" s="1" t="s">
        <v>36</v>
      </c>
      <c r="Q40" s="61"/>
      <c r="R40" s="63" t="s">
        <v>37</v>
      </c>
      <c r="T40" s="23"/>
      <c r="U40" s="1" t="s">
        <v>36</v>
      </c>
      <c r="Y40" s="61"/>
      <c r="Z40" s="63" t="s">
        <v>37</v>
      </c>
    </row>
    <row r="41" spans="1:26" ht="15.75">
      <c r="A41" s="23"/>
      <c r="B41" s="24"/>
      <c r="C41" s="1" t="s">
        <v>38</v>
      </c>
      <c r="H41" s="61"/>
      <c r="I41" s="63" t="s">
        <v>26</v>
      </c>
      <c r="L41" s="23"/>
      <c r="M41" s="1" t="s">
        <v>38</v>
      </c>
      <c r="Q41" s="61"/>
      <c r="R41" s="1" t="s">
        <v>26</v>
      </c>
      <c r="S41" s="12"/>
      <c r="T41" s="25"/>
      <c r="U41" s="57" t="s">
        <v>38</v>
      </c>
      <c r="V41" s="18"/>
      <c r="W41" s="18"/>
      <c r="X41" s="18"/>
      <c r="Y41" s="64"/>
      <c r="Z41" s="67" t="s">
        <v>26</v>
      </c>
    </row>
    <row r="42" spans="1:26" ht="15.75">
      <c r="A42" s="59" t="s">
        <v>40</v>
      </c>
      <c r="B42" s="22"/>
      <c r="C42" s="15"/>
      <c r="D42" s="15"/>
      <c r="E42" s="15"/>
      <c r="F42" s="15"/>
      <c r="G42" s="15"/>
      <c r="H42" s="65"/>
      <c r="I42" s="16"/>
      <c r="L42" s="59" t="s">
        <v>40</v>
      </c>
      <c r="M42" s="22"/>
      <c r="N42" s="15"/>
      <c r="O42" s="15"/>
      <c r="P42" s="15"/>
      <c r="Q42" s="14"/>
      <c r="R42" s="15"/>
      <c r="S42" s="12"/>
      <c r="T42" s="47" t="s">
        <v>40</v>
      </c>
      <c r="U42" s="24"/>
      <c r="Y42" s="12"/>
      <c r="Z42" s="13"/>
    </row>
    <row r="43" spans="1:26" ht="15.75">
      <c r="A43" s="23"/>
      <c r="B43" s="24"/>
      <c r="C43" s="1" t="s">
        <v>41</v>
      </c>
      <c r="H43" s="62" t="str">
        <f>IF(H$8="M"," ",IF(H27=0,H28,+H27*H13/H21))</f>
        <v> </v>
      </c>
      <c r="I43" s="13"/>
      <c r="L43" s="55" t="s">
        <v>41</v>
      </c>
      <c r="Q43" s="62" t="str">
        <f>IF(Q$8="M"," ",IF(Q27=0,Q28,+Q27*Q13/Q21))</f>
        <v> </v>
      </c>
      <c r="R43" s="13"/>
      <c r="T43" s="55" t="s">
        <v>41</v>
      </c>
      <c r="Y43" s="62" t="str">
        <f>IF(Y$8="M"," ",IF(Y27=0,Y28,+Y27*Y13/Y21))</f>
        <v> </v>
      </c>
      <c r="Z43" s="13"/>
    </row>
    <row r="44" spans="1:26" ht="15.75">
      <c r="A44" s="23"/>
      <c r="B44" s="24"/>
      <c r="C44" s="1" t="s">
        <v>42</v>
      </c>
      <c r="H44" s="62" t="str">
        <f>IF(H8="M"," ",IF(H28=0,H27,H28*H21/H13))</f>
        <v> </v>
      </c>
      <c r="I44" s="13"/>
      <c r="L44" s="55" t="s">
        <v>42</v>
      </c>
      <c r="Q44" s="62" t="str">
        <f>IF(Q8="M"," ",IF(Q28=0,Q27,Q28*Q21/Q13))</f>
        <v> </v>
      </c>
      <c r="R44" s="13"/>
      <c r="T44" s="55" t="s">
        <v>42</v>
      </c>
      <c r="Y44" s="62" t="str">
        <f>IF(Y8="M"," ",IF(Y28=0,Y27,Y28*Y21/Y13))</f>
        <v> </v>
      </c>
      <c r="Z44" s="13"/>
    </row>
    <row r="45" spans="1:26" ht="15.75">
      <c r="A45" s="23"/>
      <c r="B45" s="24"/>
      <c r="C45" s="1" t="s">
        <v>43</v>
      </c>
      <c r="H45" s="62" t="str">
        <f>IF(H8="M"," ",(H21+(H13*H44))*H13/(H43*H21+H13))</f>
        <v> </v>
      </c>
      <c r="I45" s="13"/>
      <c r="L45" s="55" t="s">
        <v>43</v>
      </c>
      <c r="Q45" s="62" t="str">
        <f>IF(Q8="M"," ",(Q21+(Q13*Q44))*Q13/(Q43*Q21+Q13))</f>
        <v> </v>
      </c>
      <c r="R45" s="13"/>
      <c r="T45" s="55" t="s">
        <v>43</v>
      </c>
      <c r="Y45" s="62" t="str">
        <f>IF(Y8="M"," ",(Y21+(Y13*Y44))*Y13/(Y43*Y21+Y13))</f>
        <v> </v>
      </c>
      <c r="Z45" s="13"/>
    </row>
    <row r="46" spans="1:26" ht="15.75">
      <c r="A46" s="23"/>
      <c r="B46" s="24"/>
      <c r="C46" s="1" t="s">
        <v>44</v>
      </c>
      <c r="H46" s="62" t="str">
        <f>IF(H$8="M"," ",(H22+(H14*H43))/(1+H43))</f>
        <v> </v>
      </c>
      <c r="I46" s="63" t="s">
        <v>21</v>
      </c>
      <c r="L46" s="55" t="s">
        <v>44</v>
      </c>
      <c r="Q46" s="62" t="str">
        <f>IF(Q$8="M"," ",(Q22+(Q14*Q43))/(1+Q43))</f>
        <v> </v>
      </c>
      <c r="R46" s="63" t="s">
        <v>21</v>
      </c>
      <c r="T46" s="55" t="s">
        <v>44</v>
      </c>
      <c r="Y46" s="62" t="str">
        <f>IF(Y$8="M"," ",(Y22+(Y14*Y43))/(1+Y43))</f>
        <v> </v>
      </c>
      <c r="Z46" s="63" t="s">
        <v>21</v>
      </c>
    </row>
    <row r="47" spans="1:26" ht="15.75">
      <c r="A47" s="23"/>
      <c r="B47" s="24"/>
      <c r="C47" s="1" t="s">
        <v>45</v>
      </c>
      <c r="H47" s="62">
        <f>IF(H$8="M",100-H13*(100-H14)/H11,100-H45*(100-H46)/H11)</f>
        <v>27.46666666666667</v>
      </c>
      <c r="I47" s="63" t="s">
        <v>21</v>
      </c>
      <c r="L47" s="55" t="s">
        <v>45</v>
      </c>
      <c r="Q47" s="62">
        <f>IF(Q$8="M",100-Q13*(100-Q14)/Q11,100-Q45*(100-Q46)/Q11)</f>
        <v>25.33333333333333</v>
      </c>
      <c r="R47" s="63" t="s">
        <v>21</v>
      </c>
      <c r="T47" s="55" t="s">
        <v>45</v>
      </c>
      <c r="Y47" s="62">
        <f>IF(Y$8="M",100-Y13*(100-Y14)/Y11,100-Y45*(100-Y46)/Y11)</f>
        <v>25.439999999999998</v>
      </c>
      <c r="Z47" s="63" t="s">
        <v>21</v>
      </c>
    </row>
    <row r="48" spans="1:26" ht="15.75">
      <c r="A48" s="23"/>
      <c r="B48" s="24"/>
      <c r="C48" s="1" t="s">
        <v>46</v>
      </c>
      <c r="H48" s="62">
        <f>IF(H$8="M",H13*H14/H47,H46*H45/H47)</f>
        <v>1.1184466019417474</v>
      </c>
      <c r="I48" s="13"/>
      <c r="L48" s="55" t="s">
        <v>46</v>
      </c>
      <c r="Q48" s="62">
        <f>IF(Q$8="M",Q13*Q14/Q47,Q46*Q45/Q47)</f>
        <v>1.4921052631578953</v>
      </c>
      <c r="R48" s="13"/>
      <c r="T48" s="55" t="s">
        <v>46</v>
      </c>
      <c r="Y48" s="62">
        <f>IF(Y$8="M",Y13*Y14/Y47,Y46*Y45/Y47)</f>
        <v>1.1358490566037738</v>
      </c>
      <c r="Z48" s="13"/>
    </row>
    <row r="49" spans="1:26" ht="15.75">
      <c r="A49" s="23"/>
      <c r="B49" s="24"/>
      <c r="H49" s="12"/>
      <c r="I49" s="13"/>
      <c r="L49" s="12"/>
      <c r="Q49" s="12"/>
      <c r="R49" s="13"/>
      <c r="T49" s="12"/>
      <c r="Y49" s="12"/>
      <c r="Z49" s="13"/>
    </row>
    <row r="50" spans="1:26" ht="15.75">
      <c r="A50" s="23"/>
      <c r="B50" s="24"/>
      <c r="C50" s="1" t="s">
        <v>47</v>
      </c>
      <c r="H50" s="62" t="str">
        <f>IF(H$8="M"," ",(H70+H71/H44)/(1+1/H44))</f>
        <v> </v>
      </c>
      <c r="I50" s="63" t="s">
        <v>37</v>
      </c>
      <c r="L50" s="55" t="s">
        <v>47</v>
      </c>
      <c r="Q50" s="62" t="str">
        <f>IF(Q$8="M"," ",(Q70+Q71/Q44)/(1+1/Q44))</f>
        <v> </v>
      </c>
      <c r="R50" s="63" t="s">
        <v>37</v>
      </c>
      <c r="T50" s="55" t="s">
        <v>47</v>
      </c>
      <c r="Y50" s="62" t="str">
        <f>IF(Y$8="M"," ",(Y70+Y71/Y44)/(1+1/Y44))</f>
        <v> </v>
      </c>
      <c r="Z50" s="63" t="s">
        <v>37</v>
      </c>
    </row>
    <row r="51" spans="1:26" ht="15.75">
      <c r="A51" s="23"/>
      <c r="B51" s="24"/>
      <c r="C51" s="1" t="s">
        <v>48</v>
      </c>
      <c r="H51" s="62" t="str">
        <f>IF(H$8="M"," ",H50/H45)</f>
        <v> </v>
      </c>
      <c r="I51" s="63" t="s">
        <v>26</v>
      </c>
      <c r="L51" s="55" t="s">
        <v>48</v>
      </c>
      <c r="Q51" s="62" t="str">
        <f>IF(Q$8="M"," ",Q50/Q45)</f>
        <v> </v>
      </c>
      <c r="R51" s="63" t="s">
        <v>26</v>
      </c>
      <c r="T51" s="55" t="s">
        <v>48</v>
      </c>
      <c r="Y51" s="62" t="str">
        <f>IF(Y$8="M"," ",Y50/Y45)</f>
        <v> </v>
      </c>
      <c r="Z51" s="63" t="s">
        <v>26</v>
      </c>
    </row>
    <row r="52" spans="1:26" ht="15.75">
      <c r="A52" s="23"/>
      <c r="B52" s="24"/>
      <c r="C52" s="1" t="s">
        <v>49</v>
      </c>
      <c r="H52" s="72">
        <f>IF(H$8="M",100*H70/(H13*H14),100*((H44*H70)+H71)/((H44*H13*H14)+(H21*H22)))</f>
        <v>282.09375</v>
      </c>
      <c r="I52" s="63" t="s">
        <v>26</v>
      </c>
      <c r="L52" s="55" t="s">
        <v>49</v>
      </c>
      <c r="Q52" s="72">
        <f>IF(Q$8="M",100*Q70/(Q13*Q14),100*((Q44*Q70)+Q71)/((Q44*Q13*Q14)+(Q21*Q22)))</f>
        <v>129.30555555555554</v>
      </c>
      <c r="R52" s="63" t="s">
        <v>26</v>
      </c>
      <c r="T52" s="55" t="s">
        <v>49</v>
      </c>
      <c r="Y52" s="72">
        <f>IF(Y$8="M",100*Y70/(Y13*Y14),100*((Y44*Y70)+Y71)/((Y44*Y13*Y14)+(Y21*Y22)))</f>
        <v>303.5880398671096</v>
      </c>
      <c r="Z52" s="63" t="s">
        <v>26</v>
      </c>
    </row>
    <row r="53" spans="1:26" ht="15.75">
      <c r="A53" s="25"/>
      <c r="B53" s="26"/>
      <c r="C53" s="57" t="s">
        <v>50</v>
      </c>
      <c r="D53" s="18"/>
      <c r="E53" s="18"/>
      <c r="F53" s="18"/>
      <c r="G53" s="18"/>
      <c r="H53" s="11">
        <f>H52*H48</f>
        <v>315.5067961165048</v>
      </c>
      <c r="I53" s="67" t="s">
        <v>37</v>
      </c>
      <c r="L53" s="58" t="s">
        <v>50</v>
      </c>
      <c r="M53" s="18"/>
      <c r="N53" s="18"/>
      <c r="O53" s="18"/>
      <c r="P53" s="18"/>
      <c r="Q53" s="11">
        <f>Q52*Q48</f>
        <v>192.93750000000006</v>
      </c>
      <c r="R53" s="67" t="s">
        <v>37</v>
      </c>
      <c r="T53" s="58" t="s">
        <v>50</v>
      </c>
      <c r="U53" s="18"/>
      <c r="V53" s="18"/>
      <c r="W53" s="18"/>
      <c r="X53" s="18"/>
      <c r="Y53" s="11">
        <f>Y52*Y48</f>
        <v>344.83018867924534</v>
      </c>
      <c r="Z53" s="67" t="s">
        <v>37</v>
      </c>
    </row>
    <row r="54" spans="1:26" ht="15.75">
      <c r="A54" s="59" t="s">
        <v>51</v>
      </c>
      <c r="B54" s="22"/>
      <c r="C54" s="15"/>
      <c r="D54" s="15"/>
      <c r="E54" s="15"/>
      <c r="F54" s="15"/>
      <c r="G54" s="15"/>
      <c r="H54" s="14"/>
      <c r="I54" s="16"/>
      <c r="L54" s="59" t="s">
        <v>51</v>
      </c>
      <c r="M54" s="22"/>
      <c r="N54" s="22"/>
      <c r="O54" s="22"/>
      <c r="P54" s="22"/>
      <c r="Q54" s="14"/>
      <c r="R54" s="16"/>
      <c r="S54" s="24"/>
      <c r="T54" s="59" t="s">
        <v>51</v>
      </c>
      <c r="U54" s="15"/>
      <c r="V54" s="15"/>
      <c r="W54" s="15"/>
      <c r="X54" s="15"/>
      <c r="Y54" s="14"/>
      <c r="Z54" s="16"/>
    </row>
    <row r="55" spans="1:26" ht="15.75">
      <c r="A55" s="23"/>
      <c r="B55" s="24"/>
      <c r="C55" s="1" t="s">
        <v>52</v>
      </c>
      <c r="H55" s="62">
        <f>IF(H$64=0," ",IF(H$8="M",(H13+(H64*H33+H67*H39)/100)/(1+(H64+H67)/100),(H13+((H64*H33+H67*H39)/100)+H21/H44)/(1+((H64+H67)/100)+1/H44)))</f>
        <v>0.9154285714285716</v>
      </c>
      <c r="I55" s="13"/>
      <c r="L55" s="55" t="s">
        <v>52</v>
      </c>
      <c r="Q55" s="62">
        <f>IF(Q$64=0," ",IF(Q$8="M",(Q13+(Q64*Q33+Q67*Q39)/100)/(1+(Q64+Q67)/100),(Q13+((Q64*Q33+Q67*Q39)/100)+Q21/Q44)/(1+((Q64+Q67)/100)+1/Q44)))</f>
        <v>1.0011167883211678</v>
      </c>
      <c r="R55" s="13"/>
      <c r="T55" s="55" t="s">
        <v>52</v>
      </c>
      <c r="Y55" s="62">
        <f>IF(Y$64=0," ",IF(Y$8="M",(Y13+(Y64*Y33+Y67*Y39)/100)/(1+(Y64+Y67)/100),(Y13+((Y64*Y33+Y67*Y39)/100)+Y21/Y44)/(1+((Y64+Y67)/100)+1/Y44)))</f>
        <v>0.9341070311213568</v>
      </c>
      <c r="Z55" s="13"/>
    </row>
    <row r="56" spans="1:26" ht="15.75">
      <c r="A56" s="23"/>
      <c r="B56" s="24"/>
      <c r="C56" s="1" t="s">
        <v>53</v>
      </c>
      <c r="H56" s="62">
        <f>IF(H$64=0," ",IF(H$8="M",H13*H14/(H13+(H64*H33+H67*H39)/100),(H14*H43+H22)/(1+H43+H43*(H64*H33+H67*H39)/(H13*100))))</f>
        <v>23.97003745318352</v>
      </c>
      <c r="I56" s="63" t="s">
        <v>21</v>
      </c>
      <c r="L56" s="55" t="s">
        <v>53</v>
      </c>
      <c r="Q56" s="62">
        <f>IF(Q$64=0," ",IF(Q$8="M",Q13*Q14/(Q13+(Q64*Q33+Q67*Q39)/100),(Q14*Q43+Q22)/(1+Q43+Q43*(Q64*Q33+Q67*Q39)/(Q13*100))))</f>
        <v>27.560461674188684</v>
      </c>
      <c r="R56" s="63" t="s">
        <v>21</v>
      </c>
      <c r="T56" s="55" t="s">
        <v>54</v>
      </c>
      <c r="Y56" s="62">
        <f>IF(Y$64=0," ",IF(Y$8="M",Y13*Y14/(Y13+(Y64*Y33+Y67*Y39)/100),(Y14*Y43+Y22)/(1+Y43+Y43*(Y64*Y33+Y67*Y39)/(Y13*100))))</f>
        <v>22.13235294117647</v>
      </c>
      <c r="Z56" s="63" t="s">
        <v>21</v>
      </c>
    </row>
    <row r="57" spans="1:26" ht="15.75">
      <c r="A57" s="23"/>
      <c r="B57" s="24"/>
      <c r="C57" s="1" t="s">
        <v>55</v>
      </c>
      <c r="H57" s="62">
        <f>IF(H$64=0," ",IF(H$8="M",H47/(1+(H64+H67)/100),H47*((H43*H21)+H13)/(H13+(H43*H21*(1+((H64+H67)/100))))))</f>
        <v>19.61904761904762</v>
      </c>
      <c r="I57" s="63" t="s">
        <v>21</v>
      </c>
      <c r="L57" s="55" t="s">
        <v>55</v>
      </c>
      <c r="Q57" s="62">
        <f>IF(Q$64=0," ",IF(Q$8="M",Q47/(1+(Q64+Q67)/100),Q47*((Q43*Q21)+Q13)/(Q13+(Q43*Q21*(1+((Q64+Q67)/100))))))</f>
        <v>18.491484184914835</v>
      </c>
      <c r="R57" s="63" t="s">
        <v>21</v>
      </c>
      <c r="T57" s="55" t="s">
        <v>56</v>
      </c>
      <c r="Y57" s="62">
        <f>IF(Y$64=0," ",IF(Y$8="M",Y47/(1+(Y64+Y67)/100),Y47*((Y43*Y21)+Y13)/(Y13+(Y43*Y21*(1+((Y64+Y67)/100))))))</f>
        <v>18.20135023876173</v>
      </c>
      <c r="Z57" s="63" t="s">
        <v>21</v>
      </c>
    </row>
    <row r="58" spans="1:26" ht="15.75">
      <c r="A58" s="23"/>
      <c r="B58" s="24"/>
      <c r="H58" s="12"/>
      <c r="I58" s="13"/>
      <c r="L58" s="12"/>
      <c r="Q58" s="12"/>
      <c r="R58" s="13"/>
      <c r="T58" s="12"/>
      <c r="Y58" s="12"/>
      <c r="Z58" s="13"/>
    </row>
    <row r="59" spans="1:26" ht="15.75">
      <c r="A59" s="23"/>
      <c r="B59" s="24"/>
      <c r="C59" s="1" t="s">
        <v>57</v>
      </c>
      <c r="H59" s="62">
        <f>IF(H$64=0," ",IF(H$8="M",(H18+((H64*H66+H67*H69)/100))/(1+(H64+H67)/100),(H18+(H64*H66+H67*H69)+H25/H44)/(1+(H64+H67)/100+1/H44)))</f>
        <v>65.85000000000001</v>
      </c>
      <c r="I59" s="63" t="s">
        <v>37</v>
      </c>
      <c r="L59" s="55" t="s">
        <v>57</v>
      </c>
      <c r="Q59" s="62">
        <f>IF(Q$64=0," ",IF(Q$8="M",(Q18+((Q64*Q66+Q67*Q69)/100))/(1+(Q64+Q67)/100),(Q18+(Q64*Q66+Q67*Q69)+Q25/Q44)/(1+(Q64+Q67)/100+1/Q44)))</f>
        <v>35.520218978102186</v>
      </c>
      <c r="R59" s="63" t="s">
        <v>37</v>
      </c>
      <c r="T59" s="55" t="s">
        <v>57</v>
      </c>
      <c r="Y59" s="62">
        <f>IF(Y$64=0," ",IF(Y$8="M",(Y18+((Y64*Y66+Y67*Y69)/100))/(1+(Y64+Y67)/100),(Y18+(Y64*Y66+Y67*Y69)+Y25/Y44)/(1+(Y64+Y67)/100+1/Y44)))</f>
        <v>66.67440869422032</v>
      </c>
      <c r="Z59" s="63" t="s">
        <v>37</v>
      </c>
    </row>
    <row r="60" spans="1:26" ht="15.75">
      <c r="A60" s="23"/>
      <c r="B60" s="24"/>
      <c r="C60" s="1" t="s">
        <v>58</v>
      </c>
      <c r="H60" s="62">
        <f>IF(H$64=0," ",H59/H55)</f>
        <v>71.93352059925093</v>
      </c>
      <c r="I60" s="63" t="s">
        <v>26</v>
      </c>
      <c r="L60" s="55" t="s">
        <v>58</v>
      </c>
      <c r="Q60" s="62">
        <f>IF(Q$64=0," ",Q59/Q55)</f>
        <v>35.48059466435295</v>
      </c>
      <c r="R60" s="63" t="s">
        <v>26</v>
      </c>
      <c r="T60" s="55" t="s">
        <v>58</v>
      </c>
      <c r="Y60" s="62">
        <f>IF(Y$64=0," ",Y59/Y55)</f>
        <v>71.37769706559263</v>
      </c>
      <c r="Z60" s="63" t="s">
        <v>26</v>
      </c>
    </row>
    <row r="61" spans="1:26" ht="15.75">
      <c r="A61" s="68"/>
      <c r="B61" s="69"/>
      <c r="C61" s="70"/>
      <c r="D61" s="18"/>
      <c r="E61" s="18"/>
      <c r="F61" s="18"/>
      <c r="G61" s="18"/>
      <c r="H61" s="17"/>
      <c r="I61" s="19"/>
      <c r="L61" s="17"/>
      <c r="M61" s="18"/>
      <c r="N61" s="18"/>
      <c r="O61" s="18"/>
      <c r="P61" s="18"/>
      <c r="Q61" s="17"/>
      <c r="R61" s="19"/>
      <c r="T61" s="17"/>
      <c r="U61" s="18"/>
      <c r="V61" s="18"/>
      <c r="W61" s="18"/>
      <c r="X61" s="18"/>
      <c r="Y61" s="17"/>
      <c r="Z61" s="19"/>
    </row>
    <row r="62" spans="1:9" ht="15.75">
      <c r="A62" s="26"/>
      <c r="B62" s="26"/>
      <c r="C62" s="18"/>
      <c r="D62" s="18"/>
      <c r="E62" s="18"/>
      <c r="F62" s="18"/>
      <c r="G62" s="18"/>
      <c r="H62" s="18"/>
      <c r="I62" s="18"/>
    </row>
    <row r="63" spans="1:26" ht="15.75">
      <c r="A63" s="59" t="s">
        <v>59</v>
      </c>
      <c r="B63" s="22"/>
      <c r="C63" s="15"/>
      <c r="D63" s="15"/>
      <c r="E63" s="15"/>
      <c r="F63" s="15"/>
      <c r="G63" s="15"/>
      <c r="H63" s="14"/>
      <c r="I63" s="16"/>
      <c r="L63" s="59" t="s">
        <v>59</v>
      </c>
      <c r="M63" s="22"/>
      <c r="N63" s="22"/>
      <c r="O63" s="22"/>
      <c r="P63" s="22"/>
      <c r="Q63" s="14"/>
      <c r="R63" s="16"/>
      <c r="S63" s="24"/>
      <c r="T63" s="59" t="s">
        <v>59</v>
      </c>
      <c r="U63" s="22"/>
      <c r="V63" s="15"/>
      <c r="W63" s="15"/>
      <c r="X63" s="15"/>
      <c r="Y63" s="14"/>
      <c r="Z63" s="16"/>
    </row>
    <row r="64" spans="1:26" ht="15.75">
      <c r="A64" s="23"/>
      <c r="B64" s="35" t="s">
        <v>32</v>
      </c>
      <c r="C64" s="1" t="s">
        <v>60</v>
      </c>
      <c r="H64" s="62">
        <f>IF(H32="",H31,H32*H13/H33)</f>
        <v>40</v>
      </c>
      <c r="I64" s="63" t="s">
        <v>21</v>
      </c>
      <c r="L64" s="47" t="s">
        <v>61</v>
      </c>
      <c r="M64" s="1" t="s">
        <v>60</v>
      </c>
      <c r="Q64" s="62">
        <f>IF(Q32="",Q31,Q32*Q13/Q33)</f>
        <v>37</v>
      </c>
      <c r="R64" s="63" t="s">
        <v>21</v>
      </c>
      <c r="T64" s="47" t="s">
        <v>61</v>
      </c>
      <c r="U64" s="1" t="s">
        <v>60</v>
      </c>
      <c r="Y64" s="62">
        <f>IF(Y32="",Y31,Y32*Y13/Y33)</f>
        <v>39.7698504027618</v>
      </c>
      <c r="Z64" s="63" t="s">
        <v>21</v>
      </c>
    </row>
    <row r="65" spans="1:26" ht="15.75">
      <c r="A65" s="23"/>
      <c r="B65" s="24"/>
      <c r="C65" s="1" t="s">
        <v>34</v>
      </c>
      <c r="H65" s="62">
        <f>H64*H33/H13</f>
        <v>33.50000000000001</v>
      </c>
      <c r="I65" s="63" t="s">
        <v>21</v>
      </c>
      <c r="L65" s="23"/>
      <c r="M65" s="1" t="s">
        <v>34</v>
      </c>
      <c r="Q65" s="62">
        <f>Q64*Q33/Q13</f>
        <v>30.62190476190476</v>
      </c>
      <c r="R65" s="63" t="s">
        <v>21</v>
      </c>
      <c r="T65" s="23"/>
      <c r="U65" s="1" t="s">
        <v>34</v>
      </c>
      <c r="Y65" s="62">
        <f>Y64*Y33/Y13</f>
        <v>36.00000000000001</v>
      </c>
      <c r="Z65" s="63" t="s">
        <v>21</v>
      </c>
    </row>
    <row r="66" spans="1:26" ht="15.75">
      <c r="A66" s="23"/>
      <c r="B66" s="24"/>
      <c r="C66" s="1" t="s">
        <v>62</v>
      </c>
      <c r="H66" s="62">
        <f>IF(H35="",H34,H35*H33)</f>
        <v>4.8</v>
      </c>
      <c r="I66" s="63" t="s">
        <v>37</v>
      </c>
      <c r="L66" s="23"/>
      <c r="M66" s="1" t="s">
        <v>62</v>
      </c>
      <c r="Q66" s="62">
        <f>IF(Q35="",Q34,Q35*Q33)</f>
        <v>5.71</v>
      </c>
      <c r="R66" s="63" t="s">
        <v>37</v>
      </c>
      <c r="T66" s="23"/>
      <c r="U66" s="1" t="s">
        <v>62</v>
      </c>
      <c r="Y66" s="62">
        <f>IF(Y35="",Y34,Y35*Y33)</f>
        <v>4.553</v>
      </c>
      <c r="Z66" s="63" t="s">
        <v>37</v>
      </c>
    </row>
    <row r="67" spans="1:26" ht="15.75">
      <c r="A67" s="23"/>
      <c r="B67" s="35" t="s">
        <v>39</v>
      </c>
      <c r="C67" s="1" t="s">
        <v>63</v>
      </c>
      <c r="H67" s="62">
        <f>IF(H38="",H37,H38*H13/H39)</f>
        <v>0</v>
      </c>
      <c r="I67" s="63" t="s">
        <v>21</v>
      </c>
      <c r="L67" s="47" t="s">
        <v>64</v>
      </c>
      <c r="M67" s="1" t="s">
        <v>63</v>
      </c>
      <c r="Q67" s="62">
        <f>IF(Q38="",Q37,Q38*Q13/Q39)</f>
        <v>0</v>
      </c>
      <c r="R67" s="63" t="s">
        <v>21</v>
      </c>
      <c r="T67" s="47" t="s">
        <v>64</v>
      </c>
      <c r="U67" s="1" t="s">
        <v>63</v>
      </c>
      <c r="Y67" s="62">
        <f>IF(Y38="",Y37,Y38*Y13/Y39)</f>
        <v>0</v>
      </c>
      <c r="Z67" s="63" t="s">
        <v>21</v>
      </c>
    </row>
    <row r="68" spans="1:26" ht="15.75">
      <c r="A68" s="23"/>
      <c r="B68" s="24"/>
      <c r="C68" s="1" t="s">
        <v>34</v>
      </c>
      <c r="H68" s="62">
        <f>H67*H39/H13</f>
        <v>0</v>
      </c>
      <c r="I68" s="63" t="s">
        <v>21</v>
      </c>
      <c r="L68" s="23"/>
      <c r="M68" s="1" t="s">
        <v>34</v>
      </c>
      <c r="Q68" s="62">
        <f>Q67*Q39/Q13</f>
        <v>0</v>
      </c>
      <c r="R68" s="63" t="s">
        <v>21</v>
      </c>
      <c r="T68" s="23"/>
      <c r="U68" s="1" t="s">
        <v>34</v>
      </c>
      <c r="Y68" s="62">
        <f>Y67*Y39/Y13</f>
        <v>0</v>
      </c>
      <c r="Z68" s="63" t="s">
        <v>21</v>
      </c>
    </row>
    <row r="69" spans="1:26" ht="15.75">
      <c r="A69" s="23"/>
      <c r="B69" s="24"/>
      <c r="C69" s="1" t="s">
        <v>62</v>
      </c>
      <c r="H69" s="62">
        <f>IF(H41="",H40,H41*H39)</f>
        <v>0</v>
      </c>
      <c r="I69" s="63" t="s">
        <v>37</v>
      </c>
      <c r="L69" s="23"/>
      <c r="M69" s="1" t="s">
        <v>62</v>
      </c>
      <c r="Q69" s="62">
        <f>IF(Q41="",Q40,Q41*Q39)</f>
        <v>0</v>
      </c>
      <c r="R69" s="63" t="s">
        <v>37</v>
      </c>
      <c r="T69" s="23"/>
      <c r="U69" s="1" t="s">
        <v>62</v>
      </c>
      <c r="Y69" s="62">
        <f>IF(Y41="",Y40,Y41*Y39)</f>
        <v>0</v>
      </c>
      <c r="Z69" s="63" t="s">
        <v>37</v>
      </c>
    </row>
    <row r="70" spans="1:26" ht="15.75">
      <c r="A70" s="23"/>
      <c r="B70" s="35" t="s">
        <v>18</v>
      </c>
      <c r="C70" s="1" t="s">
        <v>62</v>
      </c>
      <c r="H70" s="62">
        <f>IF(H18=0,H19,H18*H13)</f>
        <v>86.6592</v>
      </c>
      <c r="I70" s="63" t="s">
        <v>37</v>
      </c>
      <c r="L70" s="47" t="s">
        <v>18</v>
      </c>
      <c r="M70" s="1" t="s">
        <v>62</v>
      </c>
      <c r="Q70" s="62">
        <f>IF(Q18=0,Q19,Q18*Q13)</f>
        <v>48.8775</v>
      </c>
      <c r="R70" s="63" t="s">
        <v>37</v>
      </c>
      <c r="T70" s="47" t="s">
        <v>18</v>
      </c>
      <c r="U70" s="1" t="s">
        <v>62</v>
      </c>
      <c r="Y70" s="62">
        <f>IF(Y18=0,Y19,Y18*Y13)</f>
        <v>87.72479999999999</v>
      </c>
      <c r="Z70" s="63" t="s">
        <v>37</v>
      </c>
    </row>
    <row r="71" spans="1:26" ht="15.75">
      <c r="A71" s="23"/>
      <c r="B71" s="35" t="s">
        <v>27</v>
      </c>
      <c r="C71" s="1" t="s">
        <v>62</v>
      </c>
      <c r="H71" s="62" t="str">
        <f>IF(H$8="M"," ",IF(H25=0,H26,H25*H21))</f>
        <v> </v>
      </c>
      <c r="I71" s="63" t="s">
        <v>37</v>
      </c>
      <c r="L71" s="47" t="s">
        <v>27</v>
      </c>
      <c r="M71" s="1" t="s">
        <v>62</v>
      </c>
      <c r="Q71" s="62" t="str">
        <f>IF(Q$8="M"," ",IF(Q25=0,Q26,Q25*Q21))</f>
        <v> </v>
      </c>
      <c r="R71" s="63" t="s">
        <v>37</v>
      </c>
      <c r="T71" s="47" t="s">
        <v>27</v>
      </c>
      <c r="U71" s="1" t="s">
        <v>62</v>
      </c>
      <c r="Y71" s="62" t="str">
        <f>IF(Y$8="M"," ",IF(Y25=0,Y26,Y25*Y21))</f>
        <v> </v>
      </c>
      <c r="Z71" s="63" t="s">
        <v>37</v>
      </c>
    </row>
    <row r="72" spans="1:26" ht="15.75">
      <c r="A72" s="23"/>
      <c r="B72" s="35" t="s">
        <v>65</v>
      </c>
      <c r="H72" s="12"/>
      <c r="I72" s="13"/>
      <c r="L72" s="47" t="s">
        <v>65</v>
      </c>
      <c r="Q72" s="12"/>
      <c r="R72" s="13"/>
      <c r="T72" s="47" t="s">
        <v>65</v>
      </c>
      <c r="Y72" s="12"/>
      <c r="Z72" s="13"/>
    </row>
    <row r="73" spans="1:26" ht="15.75">
      <c r="A73" s="23"/>
      <c r="B73" s="24"/>
      <c r="C73" s="1" t="s">
        <v>66</v>
      </c>
      <c r="H73" s="62">
        <f>IF(H$64=0," ",((H64+H67)/100))</f>
        <v>0.4</v>
      </c>
      <c r="I73" s="13"/>
      <c r="L73" s="23"/>
      <c r="M73" s="1" t="s">
        <v>66</v>
      </c>
      <c r="Q73" s="62">
        <f>IF(Q$64=0," ",((Q64+Q67)/100))</f>
        <v>0.37</v>
      </c>
      <c r="R73" s="13"/>
      <c r="T73" s="23"/>
      <c r="U73" s="1" t="s">
        <v>66</v>
      </c>
      <c r="Y73" s="62">
        <f>IF(Y$64=0," ",((Y64+Y67)/100))</f>
        <v>0.39769850402761797</v>
      </c>
      <c r="Z73" s="13"/>
    </row>
    <row r="74" spans="1:26" ht="15.75">
      <c r="A74" s="23"/>
      <c r="B74" s="24"/>
      <c r="C74" s="1" t="s">
        <v>67</v>
      </c>
      <c r="H74" s="62">
        <f>IF(H$64=0," ",(H64*H33+H67*H39)/100)</f>
        <v>0.32160000000000005</v>
      </c>
      <c r="I74" s="13"/>
      <c r="L74" s="12"/>
      <c r="M74" s="1" t="s">
        <v>67</v>
      </c>
      <c r="Q74" s="62">
        <f>IF(Q$64=0," ",(Q64*Q33+Q67*Q39)/100)</f>
        <v>0.32153</v>
      </c>
      <c r="R74" s="13"/>
      <c r="T74" s="12"/>
      <c r="U74" s="1" t="s">
        <v>67</v>
      </c>
      <c r="Y74" s="62">
        <f>IF(Y$64=0," ",(Y64*Y33+Y67*Y39)/100)</f>
        <v>0.3456</v>
      </c>
      <c r="Z74" s="13"/>
    </row>
    <row r="75" spans="1:26" ht="15.75">
      <c r="A75" s="23"/>
      <c r="B75" s="24"/>
      <c r="C75" s="1" t="s">
        <v>68</v>
      </c>
      <c r="H75" s="62">
        <f>IF(H$64=0," ",(H66*H64+H69*H67)/100)</f>
        <v>1.92</v>
      </c>
      <c r="I75" s="13"/>
      <c r="L75" s="12"/>
      <c r="M75" s="1" t="s">
        <v>68</v>
      </c>
      <c r="Q75" s="62">
        <f>IF(Q$64=0," ",(Q66*Q64+Q69*Q67)/100)</f>
        <v>2.1127000000000002</v>
      </c>
      <c r="R75" s="13"/>
      <c r="T75" s="12"/>
      <c r="U75" s="1" t="s">
        <v>68</v>
      </c>
      <c r="Y75" s="62">
        <f>IF(Y$64=0," ",(Y66*Y64+Y69*Y67)/100)</f>
        <v>1.8107212888377446</v>
      </c>
      <c r="Z75" s="13"/>
    </row>
    <row r="76" spans="1:26" ht="15.75">
      <c r="A76" s="25"/>
      <c r="B76" s="26"/>
      <c r="C76" s="18"/>
      <c r="D76" s="18"/>
      <c r="E76" s="18"/>
      <c r="F76" s="18"/>
      <c r="G76" s="18"/>
      <c r="H76" s="17"/>
      <c r="I76" s="19"/>
      <c r="L76" s="12"/>
      <c r="Q76" s="12"/>
      <c r="R76" s="13"/>
      <c r="T76" s="12"/>
      <c r="Y76" s="17"/>
      <c r="Z76" s="19"/>
    </row>
    <row r="77" spans="1:26" ht="15.75">
      <c r="A77" s="59" t="s">
        <v>69</v>
      </c>
      <c r="B77" s="22"/>
      <c r="C77" s="15"/>
      <c r="D77" s="15"/>
      <c r="E77" s="15"/>
      <c r="F77" s="15"/>
      <c r="G77" s="15"/>
      <c r="H77" s="15"/>
      <c r="I77" s="16"/>
      <c r="L77" s="59" t="s">
        <v>70</v>
      </c>
      <c r="M77" s="22"/>
      <c r="N77" s="22"/>
      <c r="O77" s="22"/>
      <c r="P77" s="22"/>
      <c r="Q77" s="22"/>
      <c r="R77" s="27"/>
      <c r="S77" s="24"/>
      <c r="T77" s="59" t="s">
        <v>70</v>
      </c>
      <c r="U77" s="22"/>
      <c r="V77" s="15"/>
      <c r="W77" s="15"/>
      <c r="X77" s="15"/>
      <c r="Z77" s="13"/>
    </row>
    <row r="78" spans="1:26" ht="15.75">
      <c r="A78" s="23"/>
      <c r="B78" s="24"/>
      <c r="D78" s="1" t="s">
        <v>71</v>
      </c>
      <c r="G78" s="7">
        <v>17</v>
      </c>
      <c r="H78" s="1" t="s">
        <v>72</v>
      </c>
      <c r="I78" s="13"/>
      <c r="L78" s="12"/>
      <c r="M78" s="1" t="s">
        <v>71</v>
      </c>
      <c r="P78" s="7">
        <v>14.3</v>
      </c>
      <c r="Q78" s="8" t="s">
        <v>72</v>
      </c>
      <c r="R78" s="71"/>
      <c r="S78" s="4"/>
      <c r="T78" s="72"/>
      <c r="U78" s="1" t="s">
        <v>71</v>
      </c>
      <c r="V78" s="4"/>
      <c r="W78" s="4"/>
      <c r="X78" s="7">
        <v>22.4</v>
      </c>
      <c r="Y78" s="1" t="s">
        <v>72</v>
      </c>
      <c r="Z78" s="13"/>
    </row>
    <row r="79" spans="1:26" ht="15.75">
      <c r="A79" s="23"/>
      <c r="B79" s="24"/>
      <c r="D79" s="1" t="s">
        <v>73</v>
      </c>
      <c r="G79" s="7">
        <v>1</v>
      </c>
      <c r="H79" s="1" t="s">
        <v>74</v>
      </c>
      <c r="I79" s="13"/>
      <c r="L79" s="12"/>
      <c r="M79" s="1" t="s">
        <v>73</v>
      </c>
      <c r="P79" s="7">
        <f>G79</f>
        <v>1</v>
      </c>
      <c r="Q79" s="8" t="s">
        <v>74</v>
      </c>
      <c r="R79" s="71"/>
      <c r="S79" s="4"/>
      <c r="T79" s="72"/>
      <c r="U79" s="1" t="s">
        <v>73</v>
      </c>
      <c r="V79" s="4"/>
      <c r="W79" s="4"/>
      <c r="X79" s="7">
        <f>G79</f>
        <v>1</v>
      </c>
      <c r="Y79" s="1" t="s">
        <v>74</v>
      </c>
      <c r="Z79" s="13"/>
    </row>
    <row r="80" spans="1:26" ht="15.75">
      <c r="A80" s="23"/>
      <c r="B80" s="24"/>
      <c r="D80" s="1" t="s">
        <v>75</v>
      </c>
      <c r="G80" s="3">
        <v>0.25728</v>
      </c>
      <c r="H80" s="1" t="s">
        <v>76</v>
      </c>
      <c r="I80" s="13"/>
      <c r="L80" s="12"/>
      <c r="M80" s="1" t="s">
        <v>77</v>
      </c>
      <c r="P80" s="6">
        <f>IF(Q8="M",(G83*P78*Q48*P79*0.1)/(G78*Q14),(G83*P78*Q48*P79*0.1)/(G78*Q46)*(Q43/(1+Q43)))</f>
        <v>0.25664028482972157</v>
      </c>
      <c r="Q80" s="1" t="s">
        <v>76</v>
      </c>
      <c r="R80" s="13"/>
      <c r="T80" s="12"/>
      <c r="U80" s="1" t="s">
        <v>77</v>
      </c>
      <c r="X80" s="6">
        <f>IF(Y8="M",(G83*X78*Y48*X79*0.1)/(G78*Y14),(G83*X78*Y48*X79*0.1)/(G78*Y46)*(Y43/(1+Y43)))</f>
        <v>0.36601086200517957</v>
      </c>
      <c r="Y80" s="1" t="s">
        <v>76</v>
      </c>
      <c r="Z80" s="13"/>
    </row>
    <row r="81" spans="1:26" ht="15.75">
      <c r="A81" s="23"/>
      <c r="B81" s="24"/>
      <c r="D81" s="1" t="s">
        <v>78</v>
      </c>
      <c r="G81" s="3"/>
      <c r="H81" s="1" t="s">
        <v>76</v>
      </c>
      <c r="I81" s="13"/>
      <c r="L81" s="12"/>
      <c r="M81" s="1" t="s">
        <v>78</v>
      </c>
      <c r="P81" s="6" t="str">
        <f>IF(Q8="M"," ",(G83*P78*Q48*P79*0.1)/(G78*Q46)/(1+Q43))</f>
        <v> </v>
      </c>
      <c r="Q81" s="1" t="s">
        <v>76</v>
      </c>
      <c r="R81" s="13"/>
      <c r="T81" s="12"/>
      <c r="U81" s="1" t="s">
        <v>78</v>
      </c>
      <c r="X81" s="6">
        <f>IF(Y8="M","",(G83*X78*Y48*X79*0.1)/(G78*Y46)/(1+Y43))</f>
      </c>
      <c r="Y81" s="1" t="s">
        <v>76</v>
      </c>
      <c r="Z81" s="13"/>
    </row>
    <row r="82" spans="1:26" ht="15.75">
      <c r="A82" s="23"/>
      <c r="B82" s="24"/>
      <c r="D82" s="1" t="s">
        <v>79</v>
      </c>
      <c r="G82" s="5" t="str">
        <f>IF(H$8="M"," ",G80/G81)</f>
        <v> </v>
      </c>
      <c r="I82" s="13"/>
      <c r="L82" s="12"/>
      <c r="M82" s="1" t="s">
        <v>79</v>
      </c>
      <c r="P82" s="6" t="str">
        <f>IF(Q8="M"," ",P80/P81)</f>
        <v> </v>
      </c>
      <c r="R82" s="13"/>
      <c r="T82" s="12"/>
      <c r="U82" s="1" t="s">
        <v>79</v>
      </c>
      <c r="X82" s="6" t="str">
        <f>IF(Y8="M"," ",X80/X81)</f>
        <v> </v>
      </c>
      <c r="Z82" s="13"/>
    </row>
    <row r="83" spans="1:26" ht="16.5" thickBot="1">
      <c r="A83" s="17"/>
      <c r="B83" s="18"/>
      <c r="C83" s="18"/>
      <c r="D83" s="57" t="s">
        <v>80</v>
      </c>
      <c r="E83" s="18"/>
      <c r="F83" s="18"/>
      <c r="G83" s="73">
        <f>IF(H$8="M",G80*H14/(H48*G79*100)/0.001,(G80*H14+G81*H22)/(H48*G79*0.1))</f>
        <v>73.61066666666669</v>
      </c>
      <c r="H83" s="57" t="s">
        <v>81</v>
      </c>
      <c r="I83" s="19"/>
      <c r="L83" s="17"/>
      <c r="M83" s="57" t="s">
        <v>80</v>
      </c>
      <c r="N83" s="18"/>
      <c r="O83" s="18"/>
      <c r="P83" s="73">
        <f>IF(Q$8="M",P80*Q14/(Q48*P79*100)/0.001,(P80*Q14+P81*Q22)/(Q48*P79*0.1))</f>
        <v>61.91956078431375</v>
      </c>
      <c r="Q83" s="57" t="s">
        <v>81</v>
      </c>
      <c r="R83" s="19"/>
      <c r="T83" s="17"/>
      <c r="U83" s="57" t="s">
        <v>80</v>
      </c>
      <c r="V83" s="18"/>
      <c r="W83" s="18"/>
      <c r="X83" s="73">
        <f>IF(Y$8="M",X80*Y14/(Y48*X79*100)/0.001,(X80*Y14+X81*Y22)/(Y48*X79*0.1))</f>
        <v>96.99287843137257</v>
      </c>
      <c r="Y83" s="57" t="s">
        <v>81</v>
      </c>
      <c r="Z83" s="19"/>
    </row>
    <row r="84" spans="1:26" ht="16.5" thickTop="1">
      <c r="A84" s="74" t="s">
        <v>82</v>
      </c>
      <c r="B84" s="31"/>
      <c r="C84" s="75" t="s">
        <v>83</v>
      </c>
      <c r="D84" s="32"/>
      <c r="E84" s="76" t="s">
        <v>84</v>
      </c>
      <c r="F84" s="77" t="s">
        <v>85</v>
      </c>
      <c r="G84" s="32"/>
      <c r="H84" s="75" t="s">
        <v>86</v>
      </c>
      <c r="I84" s="32"/>
      <c r="J84" s="32"/>
      <c r="K84" s="33"/>
      <c r="L84" s="75" t="s">
        <v>87</v>
      </c>
      <c r="M84" s="32"/>
      <c r="N84" s="78" t="s">
        <v>84</v>
      </c>
      <c r="O84" s="75" t="s">
        <v>85</v>
      </c>
      <c r="P84" s="32"/>
      <c r="Q84" s="75" t="s">
        <v>88</v>
      </c>
      <c r="R84" s="33"/>
      <c r="S84" s="24"/>
      <c r="T84" s="75" t="s">
        <v>87</v>
      </c>
      <c r="U84" s="32"/>
      <c r="V84" s="78" t="s">
        <v>84</v>
      </c>
      <c r="W84" s="75" t="s">
        <v>85</v>
      </c>
      <c r="X84" s="32"/>
      <c r="Y84" s="75" t="s">
        <v>88</v>
      </c>
      <c r="Z84" s="33"/>
    </row>
    <row r="85" spans="1:32" ht="15.75">
      <c r="A85" s="56" t="s">
        <v>89</v>
      </c>
      <c r="B85" s="56" t="s">
        <v>90</v>
      </c>
      <c r="C85" s="56" t="s">
        <v>91</v>
      </c>
      <c r="D85" s="56" t="s">
        <v>92</v>
      </c>
      <c r="E85" s="79" t="s">
        <v>93</v>
      </c>
      <c r="F85" s="54" t="s">
        <v>94</v>
      </c>
      <c r="G85" s="56" t="s">
        <v>95</v>
      </c>
      <c r="H85" s="80" t="s">
        <v>96</v>
      </c>
      <c r="I85" s="81" t="s">
        <v>97</v>
      </c>
      <c r="J85" s="82" t="s">
        <v>98</v>
      </c>
      <c r="K85" s="30"/>
      <c r="L85" s="56" t="s">
        <v>91</v>
      </c>
      <c r="M85" s="56" t="s">
        <v>92</v>
      </c>
      <c r="N85" s="79" t="s">
        <v>93</v>
      </c>
      <c r="O85" s="54" t="s">
        <v>94</v>
      </c>
      <c r="P85" s="56" t="s">
        <v>95</v>
      </c>
      <c r="Q85" s="56" t="s">
        <v>94</v>
      </c>
      <c r="R85" s="79" t="s">
        <v>95</v>
      </c>
      <c r="T85" s="56" t="s">
        <v>91</v>
      </c>
      <c r="U85" s="56" t="s">
        <v>92</v>
      </c>
      <c r="V85" s="79" t="s">
        <v>93</v>
      </c>
      <c r="W85" s="54" t="s">
        <v>94</v>
      </c>
      <c r="X85" s="56" t="s">
        <v>95</v>
      </c>
      <c r="Y85" s="56" t="s">
        <v>94</v>
      </c>
      <c r="Z85" s="79" t="s">
        <v>95</v>
      </c>
      <c r="AB85" s="5" t="str">
        <f>H85</f>
        <v>Sochaux</v>
      </c>
      <c r="AD85" s="5" t="str">
        <f>I85</f>
        <v>Mulh.</v>
      </c>
      <c r="AF85" s="5" t="str">
        <f>J85</f>
        <v>Poissy</v>
      </c>
    </row>
    <row r="86" spans="1:32" ht="15.75">
      <c r="A86" s="17"/>
      <c r="B86" s="83" t="s">
        <v>99</v>
      </c>
      <c r="C86" s="83" t="s">
        <v>100</v>
      </c>
      <c r="D86" s="83" t="s">
        <v>100</v>
      </c>
      <c r="E86" s="84" t="s">
        <v>100</v>
      </c>
      <c r="F86" s="85" t="s">
        <v>101</v>
      </c>
      <c r="G86" s="83" t="s">
        <v>101</v>
      </c>
      <c r="H86" s="83" t="s">
        <v>102</v>
      </c>
      <c r="I86" s="84" t="s">
        <v>102</v>
      </c>
      <c r="J86" s="86" t="s">
        <v>102</v>
      </c>
      <c r="K86" s="29"/>
      <c r="L86" s="83" t="s">
        <v>100</v>
      </c>
      <c r="M86" s="83" t="s">
        <v>100</v>
      </c>
      <c r="N86" s="84" t="s">
        <v>100</v>
      </c>
      <c r="O86" s="85" t="s">
        <v>101</v>
      </c>
      <c r="P86" s="83" t="s">
        <v>101</v>
      </c>
      <c r="Q86" s="83" t="s">
        <v>101</v>
      </c>
      <c r="R86" s="84" t="s">
        <v>101</v>
      </c>
      <c r="S86" s="18"/>
      <c r="T86" s="83" t="s">
        <v>100</v>
      </c>
      <c r="U86" s="83" t="s">
        <v>100</v>
      </c>
      <c r="V86" s="84" t="s">
        <v>100</v>
      </c>
      <c r="W86" s="85" t="s">
        <v>101</v>
      </c>
      <c r="X86" s="83" t="s">
        <v>101</v>
      </c>
      <c r="Y86" s="83" t="s">
        <v>101</v>
      </c>
      <c r="Z86" s="84" t="s">
        <v>101</v>
      </c>
      <c r="AB86" s="1" t="s">
        <v>103</v>
      </c>
      <c r="AD86" s="1" t="s">
        <v>103</v>
      </c>
      <c r="AF86" s="1" t="s">
        <v>103</v>
      </c>
    </row>
    <row r="87" spans="1:33" ht="15.75">
      <c r="A87" s="66" t="s">
        <v>104</v>
      </c>
      <c r="B87" s="87">
        <v>1</v>
      </c>
      <c r="C87" s="72">
        <f aca="true" t="shared" si="0" ref="C87:C105">$G$80*$B87/G$79</f>
        <v>0.25728</v>
      </c>
      <c r="D87" s="72">
        <f aca="true" t="shared" si="1" ref="D87:D105">$G$81*$B87/G$79</f>
        <v>0</v>
      </c>
      <c r="E87" s="88">
        <f aca="true" t="shared" si="2" ref="E87:E105">IF(H$9="S",C87*(100-H$14)/100+D87*(100-H$22)/100,(C87*H$15+D87*H$23)/100)</f>
        <v>0.1749504</v>
      </c>
      <c r="F87" s="9">
        <f aca="true" t="shared" si="3" ref="F87:F105">IF(H$8="M",C87*H$18,(C87*H$18)+(D87*H$71))</f>
        <v>23.224665599999998</v>
      </c>
      <c r="G87" s="89">
        <f aca="true" t="shared" si="4" ref="G87:G105">IF(H$64=0,F87,F87+C87/H$13*H$75)</f>
        <v>23.739225599999997</v>
      </c>
      <c r="H87" s="90"/>
      <c r="I87" s="91"/>
      <c r="J87" s="10"/>
      <c r="K87" s="13"/>
      <c r="L87" s="72">
        <f aca="true" t="shared" si="5" ref="L87:L105">$P$80*$B87/P$79</f>
        <v>0.25664028482972157</v>
      </c>
      <c r="M87" s="72">
        <f aca="true" t="shared" si="6" ref="M87:M105">$P$81*$B87/P$79</f>
        <v>0</v>
      </c>
      <c r="N87" s="88">
        <f aca="true" t="shared" si="7" ref="N87:N105">IF(Q$9="S",L87*(100-Q$14)/100+M87*(100-Q$22)/100,(L87*Q$15+M87*Q$23)/100)</f>
        <v>0.1642497822910218</v>
      </c>
      <c r="O87" s="9">
        <f aca="true" t="shared" si="8" ref="O87:O105">IF(Q$8="M",L87*Q$18,(L87*Q$18)+(M87*Q$71))</f>
        <v>11.946605258823539</v>
      </c>
      <c r="P87" s="89">
        <f aca="true" t="shared" si="9" ref="P87:P105">IF(Q$64=0,O87,O87+L87/Q$13*Q$75)</f>
        <v>12.462989953832826</v>
      </c>
      <c r="Q87" s="89">
        <f aca="true" t="shared" si="10" ref="Q87:R105">O87-F87</f>
        <v>-11.27806034117646</v>
      </c>
      <c r="R87" s="92">
        <f t="shared" si="10"/>
        <v>-11.276235646167171</v>
      </c>
      <c r="T87" s="72">
        <f aca="true" t="shared" si="11" ref="T87:T105">$X$80*$B87/X$79</f>
        <v>0.36601086200517957</v>
      </c>
      <c r="U87" s="72">
        <f aca="true" t="shared" si="12" ref="U87:U105">$X$81*$B87/X$79</f>
        <v>0</v>
      </c>
      <c r="V87" s="88">
        <f aca="true" t="shared" si="13" ref="V87:V105">IF(Y$9="S",T87*(100-Y$14)/100+U87*(100-Y$22)/100,(T87*Y$15+U87*Y$23)/100)</f>
        <v>0.25584159254162053</v>
      </c>
      <c r="W87" s="9">
        <f aca="true" t="shared" si="14" ref="W87:W105">IF(Y$8="M",T87*Y$18,(T87*Y$18)+(U87*Y$71))</f>
        <v>33.44607257003331</v>
      </c>
      <c r="X87" s="89">
        <f aca="true" t="shared" si="15" ref="X87:X105">IF(Y$64=0,W87,W87+T87/Y$13*Y$75)</f>
        <v>34.136430548969386</v>
      </c>
      <c r="Y87" s="89">
        <f aca="true" t="shared" si="16" ref="Y87:Z105">W87-F87</f>
        <v>10.22140697003331</v>
      </c>
      <c r="Z87" s="92">
        <f t="shared" si="16"/>
        <v>10.397204948969389</v>
      </c>
      <c r="AB87" s="9">
        <f aca="true" t="shared" si="17" ref="AB87:AB105">IF(H87=0,"",H87*B87/1000)</f>
      </c>
      <c r="AC87" s="4"/>
      <c r="AD87" s="9">
        <f aca="true" t="shared" si="18" ref="AD87:AD105">IF(I87=0,"",I87*B87/1000)</f>
      </c>
      <c r="AE87" s="4"/>
      <c r="AF87" s="9">
        <f aca="true" t="shared" si="19" ref="AF87:AF105">IF(J87=0,"",J87*B87/1000)</f>
      </c>
      <c r="AG87" s="4"/>
    </row>
    <row r="88" spans="1:33" ht="15.75">
      <c r="A88" s="66" t="s">
        <v>105</v>
      </c>
      <c r="B88" s="87">
        <v>17.92</v>
      </c>
      <c r="C88" s="72">
        <f t="shared" si="0"/>
        <v>4.6104576</v>
      </c>
      <c r="D88" s="72">
        <f t="shared" si="1"/>
        <v>0</v>
      </c>
      <c r="E88" s="88">
        <f t="shared" si="2"/>
        <v>3.1351111680000003</v>
      </c>
      <c r="F88" s="9">
        <f t="shared" si="3"/>
        <v>416.186007552</v>
      </c>
      <c r="G88" s="89">
        <f t="shared" si="4"/>
        <v>425.40692275199996</v>
      </c>
      <c r="H88" s="90">
        <v>270</v>
      </c>
      <c r="I88" s="91">
        <v>326</v>
      </c>
      <c r="J88" s="10"/>
      <c r="K88" s="13"/>
      <c r="L88" s="72">
        <f t="shared" si="5"/>
        <v>4.598993904148611</v>
      </c>
      <c r="M88" s="72">
        <f t="shared" si="6"/>
        <v>0</v>
      </c>
      <c r="N88" s="88">
        <f t="shared" si="7"/>
        <v>2.9433560986551113</v>
      </c>
      <c r="O88" s="9">
        <f t="shared" si="8"/>
        <v>214.08316623811783</v>
      </c>
      <c r="P88" s="89">
        <f t="shared" si="9"/>
        <v>223.33677997268427</v>
      </c>
      <c r="Q88" s="89">
        <f t="shared" si="10"/>
        <v>-202.10284131388215</v>
      </c>
      <c r="R88" s="92">
        <f t="shared" si="10"/>
        <v>-202.0701427793157</v>
      </c>
      <c r="T88" s="72">
        <f t="shared" si="11"/>
        <v>6.558914647132818</v>
      </c>
      <c r="U88" s="72">
        <f t="shared" si="12"/>
        <v>0</v>
      </c>
      <c r="V88" s="88">
        <f t="shared" si="13"/>
        <v>4.58468133834584</v>
      </c>
      <c r="W88" s="9">
        <f t="shared" si="14"/>
        <v>599.3536204549969</v>
      </c>
      <c r="X88" s="89">
        <f t="shared" si="15"/>
        <v>611.7248354375314</v>
      </c>
      <c r="Y88" s="89">
        <f t="shared" si="16"/>
        <v>183.1676129029969</v>
      </c>
      <c r="Z88" s="92">
        <f t="shared" si="16"/>
        <v>186.31791268553144</v>
      </c>
      <c r="AB88" s="9">
        <f t="shared" si="17"/>
        <v>4.838400000000001</v>
      </c>
      <c r="AC88" s="4"/>
      <c r="AD88" s="9">
        <f t="shared" si="18"/>
        <v>5.841920000000001</v>
      </c>
      <c r="AE88" s="4"/>
      <c r="AF88" s="9">
        <f t="shared" si="19"/>
      </c>
      <c r="AG88" s="4"/>
    </row>
    <row r="89" spans="1:33" ht="15.75">
      <c r="A89" s="66" t="s">
        <v>106</v>
      </c>
      <c r="B89" s="87">
        <v>19.406</v>
      </c>
      <c r="C89" s="72">
        <f t="shared" si="0"/>
        <v>4.99277568</v>
      </c>
      <c r="D89" s="72">
        <f t="shared" si="1"/>
        <v>0</v>
      </c>
      <c r="E89" s="88">
        <f t="shared" si="2"/>
        <v>3.3950874624</v>
      </c>
      <c r="F89" s="9">
        <f t="shared" si="3"/>
        <v>450.6978606336</v>
      </c>
      <c r="G89" s="89">
        <f t="shared" si="4"/>
        <v>460.6834119936</v>
      </c>
      <c r="H89" s="90"/>
      <c r="I89" s="91">
        <v>334</v>
      </c>
      <c r="J89" s="10"/>
      <c r="K89" s="13"/>
      <c r="L89" s="72">
        <f t="shared" si="5"/>
        <v>4.9803613674055764</v>
      </c>
      <c r="M89" s="72">
        <f t="shared" si="6"/>
        <v>0</v>
      </c>
      <c r="N89" s="88">
        <f t="shared" si="7"/>
        <v>3.187431275139569</v>
      </c>
      <c r="O89" s="9">
        <f t="shared" si="8"/>
        <v>231.83582165272958</v>
      </c>
      <c r="P89" s="89">
        <f t="shared" si="9"/>
        <v>241.85678304407983</v>
      </c>
      <c r="Q89" s="89">
        <f t="shared" si="10"/>
        <v>-218.8620389808704</v>
      </c>
      <c r="R89" s="92">
        <f t="shared" si="10"/>
        <v>-218.82662894952014</v>
      </c>
      <c r="T89" s="72">
        <f t="shared" si="11"/>
        <v>7.102806788072514</v>
      </c>
      <c r="U89" s="72">
        <f t="shared" si="12"/>
        <v>0</v>
      </c>
      <c r="V89" s="88">
        <f t="shared" si="13"/>
        <v>4.964861944862688</v>
      </c>
      <c r="W89" s="9">
        <f t="shared" si="14"/>
        <v>649.0544842940664</v>
      </c>
      <c r="X89" s="89">
        <f t="shared" si="15"/>
        <v>662.4515712332999</v>
      </c>
      <c r="Y89" s="89">
        <f t="shared" si="16"/>
        <v>198.35662366046637</v>
      </c>
      <c r="Z89" s="92">
        <f t="shared" si="16"/>
        <v>201.7681592396999</v>
      </c>
      <c r="AB89" s="9">
        <f t="shared" si="17"/>
      </c>
      <c r="AC89" s="4"/>
      <c r="AD89" s="9">
        <f t="shared" si="18"/>
        <v>6.481603999999999</v>
      </c>
      <c r="AE89" s="4"/>
      <c r="AF89" s="9">
        <f t="shared" si="19"/>
      </c>
      <c r="AG89" s="4"/>
    </row>
    <row r="90" spans="1:33" ht="15.75">
      <c r="A90" s="102" t="s">
        <v>107</v>
      </c>
      <c r="B90" s="87">
        <v>24.896</v>
      </c>
      <c r="C90" s="72">
        <f t="shared" si="0"/>
        <v>6.40524288</v>
      </c>
      <c r="D90" s="72">
        <f t="shared" si="1"/>
        <v>0</v>
      </c>
      <c r="E90" s="88">
        <f t="shared" si="2"/>
        <v>4.3555651584</v>
      </c>
      <c r="F90" s="9">
        <f t="shared" si="3"/>
        <v>578.2012747776</v>
      </c>
      <c r="G90" s="89">
        <f t="shared" si="4"/>
        <v>591.0117605376</v>
      </c>
      <c r="H90" s="90">
        <v>880</v>
      </c>
      <c r="I90" s="91"/>
      <c r="J90" s="10"/>
      <c r="K90" s="13"/>
      <c r="L90" s="72">
        <f t="shared" si="5"/>
        <v>6.389316531120748</v>
      </c>
      <c r="M90" s="72">
        <f t="shared" si="6"/>
        <v>0</v>
      </c>
      <c r="N90" s="88">
        <f t="shared" si="7"/>
        <v>4.089162579917279</v>
      </c>
      <c r="O90" s="9">
        <f t="shared" si="8"/>
        <v>297.4226845236708</v>
      </c>
      <c r="P90" s="89">
        <f t="shared" si="9"/>
        <v>310.27859789062205</v>
      </c>
      <c r="Q90" s="89">
        <f t="shared" si="10"/>
        <v>-280.7785902539292</v>
      </c>
      <c r="R90" s="92">
        <f t="shared" si="10"/>
        <v>-280.733162646978</v>
      </c>
      <c r="T90" s="72">
        <f t="shared" si="11"/>
        <v>9.11220642048095</v>
      </c>
      <c r="U90" s="72">
        <f t="shared" si="12"/>
        <v>0</v>
      </c>
      <c r="V90" s="88">
        <f t="shared" si="13"/>
        <v>6.369432287916185</v>
      </c>
      <c r="W90" s="9">
        <f t="shared" si="14"/>
        <v>832.6734227035491</v>
      </c>
      <c r="X90" s="89">
        <f t="shared" si="15"/>
        <v>849.8605749471417</v>
      </c>
      <c r="Y90" s="89">
        <f t="shared" si="16"/>
        <v>254.47214792594912</v>
      </c>
      <c r="Z90" s="92">
        <f t="shared" si="16"/>
        <v>258.84881440954166</v>
      </c>
      <c r="AB90" s="9">
        <f t="shared" si="17"/>
        <v>21.90848</v>
      </c>
      <c r="AC90" s="4"/>
      <c r="AD90" s="9">
        <f t="shared" si="18"/>
      </c>
      <c r="AE90" s="4"/>
      <c r="AF90" s="9">
        <f t="shared" si="19"/>
      </c>
      <c r="AG90" s="4"/>
    </row>
    <row r="91" spans="1:33" ht="15.75">
      <c r="A91" s="102" t="s">
        <v>108</v>
      </c>
      <c r="B91" s="87">
        <v>25.657</v>
      </c>
      <c r="C91" s="72">
        <f t="shared" si="0"/>
        <v>6.60103296</v>
      </c>
      <c r="D91" s="72">
        <f t="shared" si="1"/>
        <v>0</v>
      </c>
      <c r="E91" s="88">
        <f t="shared" si="2"/>
        <v>4.4887024128</v>
      </c>
      <c r="F91" s="9">
        <f t="shared" si="3"/>
        <v>595.8752452992001</v>
      </c>
      <c r="G91" s="89">
        <f t="shared" si="4"/>
        <v>609.0773112192</v>
      </c>
      <c r="H91" s="90">
        <v>204</v>
      </c>
      <c r="I91" s="91"/>
      <c r="J91" s="10"/>
      <c r="K91" s="13"/>
      <c r="L91" s="72">
        <f t="shared" si="5"/>
        <v>6.584619787876166</v>
      </c>
      <c r="M91" s="72">
        <f t="shared" si="6"/>
        <v>0</v>
      </c>
      <c r="N91" s="88">
        <f t="shared" si="7"/>
        <v>4.214156664240746</v>
      </c>
      <c r="O91" s="9">
        <f t="shared" si="8"/>
        <v>306.5140511256355</v>
      </c>
      <c r="P91" s="89">
        <f t="shared" si="9"/>
        <v>319.7629332454888</v>
      </c>
      <c r="Q91" s="89">
        <f t="shared" si="10"/>
        <v>-289.36119417356457</v>
      </c>
      <c r="R91" s="92">
        <f t="shared" si="10"/>
        <v>-289.31437797371126</v>
      </c>
      <c r="T91" s="72">
        <f t="shared" si="11"/>
        <v>9.390740686466891</v>
      </c>
      <c r="U91" s="72">
        <f t="shared" si="12"/>
        <v>0</v>
      </c>
      <c r="V91" s="88">
        <f t="shared" si="13"/>
        <v>6.564127739840358</v>
      </c>
      <c r="W91" s="9">
        <f t="shared" si="14"/>
        <v>858.1258839293445</v>
      </c>
      <c r="X91" s="89">
        <f t="shared" si="15"/>
        <v>875.8383985949074</v>
      </c>
      <c r="Y91" s="89">
        <f t="shared" si="16"/>
        <v>262.2506386301444</v>
      </c>
      <c r="Z91" s="92">
        <f t="shared" si="16"/>
        <v>266.76108737570735</v>
      </c>
      <c r="AB91" s="9">
        <f t="shared" si="17"/>
        <v>5.234028</v>
      </c>
      <c r="AC91" s="4"/>
      <c r="AD91" s="9">
        <f t="shared" si="18"/>
      </c>
      <c r="AE91" s="4"/>
      <c r="AF91" s="9">
        <f t="shared" si="19"/>
      </c>
      <c r="AG91" s="4"/>
    </row>
    <row r="92" spans="1:33" ht="15.75">
      <c r="A92" s="66" t="s">
        <v>137</v>
      </c>
      <c r="B92" s="87">
        <v>26.904</v>
      </c>
      <c r="C92" s="72">
        <f t="shared" si="0"/>
        <v>6.92186112</v>
      </c>
      <c r="D92" s="72">
        <f t="shared" si="1"/>
        <v>0</v>
      </c>
      <c r="E92" s="88">
        <f t="shared" si="2"/>
        <v>4.7068655616</v>
      </c>
      <c r="F92" s="9">
        <f t="shared" si="3"/>
        <v>624.8364033024</v>
      </c>
      <c r="G92" s="89">
        <f t="shared" si="4"/>
        <v>638.6801255424</v>
      </c>
      <c r="H92" s="90"/>
      <c r="I92" s="91"/>
      <c r="J92" s="10"/>
      <c r="K92" s="13"/>
      <c r="L92" s="72">
        <f t="shared" si="5"/>
        <v>6.904650223058829</v>
      </c>
      <c r="M92" s="72">
        <f t="shared" si="6"/>
        <v>0</v>
      </c>
      <c r="N92" s="88">
        <f t="shared" si="7"/>
        <v>4.418976142757651</v>
      </c>
      <c r="O92" s="9">
        <f t="shared" si="8"/>
        <v>321.41146788338847</v>
      </c>
      <c r="P92" s="89">
        <f t="shared" si="9"/>
        <v>335.30428171791834</v>
      </c>
      <c r="Q92" s="89">
        <f t="shared" si="10"/>
        <v>-303.4249354190115</v>
      </c>
      <c r="R92" s="92">
        <f t="shared" si="10"/>
        <v>-303.37584382448165</v>
      </c>
      <c r="T92" s="72">
        <f t="shared" si="11"/>
        <v>9.847156231387352</v>
      </c>
      <c r="U92" s="72">
        <f t="shared" si="12"/>
        <v>0</v>
      </c>
      <c r="V92" s="88">
        <f t="shared" si="13"/>
        <v>6.88316220573976</v>
      </c>
      <c r="W92" s="9">
        <f t="shared" si="14"/>
        <v>899.8331364241761</v>
      </c>
      <c r="X92" s="89">
        <f t="shared" si="15"/>
        <v>918.4065274894723</v>
      </c>
      <c r="Y92" s="89">
        <f t="shared" si="16"/>
        <v>274.9967331217762</v>
      </c>
      <c r="Z92" s="92">
        <f t="shared" si="16"/>
        <v>279.7264019470723</v>
      </c>
      <c r="AB92" s="9">
        <f t="shared" si="17"/>
      </c>
      <c r="AC92" s="4"/>
      <c r="AD92" s="9">
        <f t="shared" si="18"/>
      </c>
      <c r="AE92" s="4"/>
      <c r="AF92" s="9">
        <f t="shared" si="19"/>
      </c>
      <c r="AG92" s="4"/>
    </row>
    <row r="93" spans="1:33" ht="15.75">
      <c r="A93" s="319">
        <v>607</v>
      </c>
      <c r="B93" s="87">
        <v>20.406</v>
      </c>
      <c r="C93" s="72">
        <f t="shared" si="0"/>
        <v>5.25005568</v>
      </c>
      <c r="D93" s="72">
        <f t="shared" si="1"/>
        <v>0</v>
      </c>
      <c r="E93" s="88">
        <f t="shared" si="2"/>
        <v>3.5700378624</v>
      </c>
      <c r="F93" s="9">
        <f t="shared" si="3"/>
        <v>473.92252623359997</v>
      </c>
      <c r="G93" s="89">
        <f t="shared" si="4"/>
        <v>484.4226375936</v>
      </c>
      <c r="H93" s="90">
        <v>50</v>
      </c>
      <c r="I93" s="91"/>
      <c r="J93" s="10"/>
      <c r="K93" s="13"/>
      <c r="L93" s="72">
        <f t="shared" si="5"/>
        <v>5.237001652235298</v>
      </c>
      <c r="M93" s="72">
        <f t="shared" si="6"/>
        <v>0</v>
      </c>
      <c r="N93" s="88">
        <f t="shared" si="7"/>
        <v>3.3516810574305906</v>
      </c>
      <c r="O93" s="9">
        <f t="shared" si="8"/>
        <v>243.7824269115531</v>
      </c>
      <c r="P93" s="89">
        <f t="shared" si="9"/>
        <v>254.31977299791265</v>
      </c>
      <c r="Q93" s="89">
        <f t="shared" si="10"/>
        <v>-230.14009932204686</v>
      </c>
      <c r="R93" s="92">
        <f t="shared" si="10"/>
        <v>-230.10286459568732</v>
      </c>
      <c r="T93" s="72">
        <f t="shared" si="11"/>
        <v>7.4688176500776935</v>
      </c>
      <c r="U93" s="72">
        <f t="shared" si="12"/>
        <v>0</v>
      </c>
      <c r="V93" s="88">
        <f t="shared" si="13"/>
        <v>5.220703537404308</v>
      </c>
      <c r="W93" s="9">
        <f t="shared" si="14"/>
        <v>682.5005568640996</v>
      </c>
      <c r="X93" s="89">
        <f t="shared" si="15"/>
        <v>696.5880017822692</v>
      </c>
      <c r="Y93" s="89">
        <f t="shared" si="16"/>
        <v>208.57803063049965</v>
      </c>
      <c r="Z93" s="92">
        <f t="shared" si="16"/>
        <v>212.16536418866923</v>
      </c>
      <c r="AB93" s="9">
        <f t="shared" si="17"/>
        <v>1.0203</v>
      </c>
      <c r="AC93" s="4"/>
      <c r="AD93" s="9">
        <f t="shared" si="18"/>
      </c>
      <c r="AE93" s="4"/>
      <c r="AF93" s="9">
        <f t="shared" si="19"/>
      </c>
      <c r="AG93" s="4"/>
    </row>
    <row r="94" spans="1:33" ht="15.75">
      <c r="A94" s="102" t="s">
        <v>110</v>
      </c>
      <c r="B94" s="87">
        <v>21.29</v>
      </c>
      <c r="C94" s="72">
        <f t="shared" si="0"/>
        <v>5.4774912</v>
      </c>
      <c r="D94" s="72">
        <f t="shared" si="1"/>
        <v>0</v>
      </c>
      <c r="E94" s="88">
        <f t="shared" si="2"/>
        <v>3.7246940160000004</v>
      </c>
      <c r="F94" s="9">
        <f t="shared" si="3"/>
        <v>494.453130624</v>
      </c>
      <c r="G94" s="89">
        <f t="shared" si="4"/>
        <v>505.408113024</v>
      </c>
      <c r="H94" s="90"/>
      <c r="I94" s="91"/>
      <c r="J94" s="10">
        <v>550</v>
      </c>
      <c r="K94" s="13"/>
      <c r="L94" s="72">
        <f t="shared" si="5"/>
        <v>5.463871664024772</v>
      </c>
      <c r="M94" s="72">
        <f t="shared" si="6"/>
        <v>0</v>
      </c>
      <c r="N94" s="88">
        <f t="shared" si="7"/>
        <v>3.496877864975854</v>
      </c>
      <c r="O94" s="9">
        <f t="shared" si="8"/>
        <v>254.34322596035312</v>
      </c>
      <c r="P94" s="89">
        <f t="shared" si="9"/>
        <v>265.3370561171009</v>
      </c>
      <c r="Q94" s="89">
        <f t="shared" si="10"/>
        <v>-240.10990466364686</v>
      </c>
      <c r="R94" s="92">
        <f t="shared" si="10"/>
        <v>-240.07105690689912</v>
      </c>
      <c r="T94" s="72">
        <f t="shared" si="11"/>
        <v>7.792371252090272</v>
      </c>
      <c r="U94" s="72">
        <f t="shared" si="12"/>
        <v>0</v>
      </c>
      <c r="V94" s="88">
        <f t="shared" si="13"/>
        <v>5.446867505211101</v>
      </c>
      <c r="W94" s="9">
        <f t="shared" si="14"/>
        <v>712.0668850160091</v>
      </c>
      <c r="X94" s="89">
        <f t="shared" si="15"/>
        <v>726.7646063875582</v>
      </c>
      <c r="Y94" s="89">
        <f t="shared" si="16"/>
        <v>217.61375439200913</v>
      </c>
      <c r="Z94" s="92">
        <f t="shared" si="16"/>
        <v>221.35649336355817</v>
      </c>
      <c r="AB94" s="9">
        <f t="shared" si="17"/>
      </c>
      <c r="AC94" s="4"/>
      <c r="AD94" s="9">
        <f t="shared" si="18"/>
      </c>
      <c r="AE94" s="4"/>
      <c r="AF94" s="9">
        <f t="shared" si="19"/>
        <v>11.7095</v>
      </c>
      <c r="AG94" s="4"/>
    </row>
    <row r="95" spans="1:33" ht="15.75">
      <c r="A95" s="66" t="s">
        <v>111</v>
      </c>
      <c r="B95" s="87">
        <v>19.57</v>
      </c>
      <c r="C95" s="72">
        <f t="shared" si="0"/>
        <v>5.0349696</v>
      </c>
      <c r="D95" s="72">
        <f t="shared" si="1"/>
        <v>0</v>
      </c>
      <c r="E95" s="88">
        <f t="shared" si="2"/>
        <v>3.423779328</v>
      </c>
      <c r="F95" s="9">
        <f t="shared" si="3"/>
        <v>454.506705792</v>
      </c>
      <c r="G95" s="89">
        <f t="shared" si="4"/>
        <v>464.576644992</v>
      </c>
      <c r="H95" s="90"/>
      <c r="I95" s="91"/>
      <c r="J95" s="10">
        <v>230</v>
      </c>
      <c r="K95" s="13"/>
      <c r="L95" s="72">
        <f t="shared" si="5"/>
        <v>5.022450374117651</v>
      </c>
      <c r="M95" s="72">
        <f t="shared" si="6"/>
        <v>0</v>
      </c>
      <c r="N95" s="88">
        <f t="shared" si="7"/>
        <v>3.2143682394352964</v>
      </c>
      <c r="O95" s="9">
        <f t="shared" si="8"/>
        <v>233.79506491517662</v>
      </c>
      <c r="P95" s="89">
        <f t="shared" si="9"/>
        <v>243.9007133965084</v>
      </c>
      <c r="Q95" s="89">
        <f t="shared" si="10"/>
        <v>-220.71164087682337</v>
      </c>
      <c r="R95" s="92">
        <f t="shared" si="10"/>
        <v>-220.67593159549162</v>
      </c>
      <c r="T95" s="72">
        <f t="shared" si="11"/>
        <v>7.162832569441364</v>
      </c>
      <c r="U95" s="72">
        <f t="shared" si="12"/>
        <v>0</v>
      </c>
      <c r="V95" s="88">
        <f t="shared" si="13"/>
        <v>5.006819966039514</v>
      </c>
      <c r="W95" s="9">
        <f t="shared" si="14"/>
        <v>654.5396401955518</v>
      </c>
      <c r="X95" s="89">
        <f t="shared" si="15"/>
        <v>668.0499458433308</v>
      </c>
      <c r="Y95" s="89">
        <f t="shared" si="16"/>
        <v>200.0329344035518</v>
      </c>
      <c r="Z95" s="92">
        <f t="shared" si="16"/>
        <v>203.47330085133075</v>
      </c>
      <c r="AB95" s="9">
        <f t="shared" si="17"/>
      </c>
      <c r="AC95" s="4"/>
      <c r="AD95" s="9">
        <f t="shared" si="18"/>
      </c>
      <c r="AE95" s="4"/>
      <c r="AF95" s="9">
        <f t="shared" si="19"/>
        <v>4.5011</v>
      </c>
      <c r="AG95" s="4"/>
    </row>
    <row r="96" spans="1:33" ht="15.75">
      <c r="A96" s="102" t="s">
        <v>138</v>
      </c>
      <c r="B96" s="87">
        <v>21.32</v>
      </c>
      <c r="C96" s="72">
        <f t="shared" si="0"/>
        <v>5.4852096</v>
      </c>
      <c r="D96" s="72">
        <f t="shared" si="1"/>
        <v>0</v>
      </c>
      <c r="E96" s="88">
        <f t="shared" si="2"/>
        <v>3.7299425280000005</v>
      </c>
      <c r="F96" s="9">
        <f t="shared" si="3"/>
        <v>495.149870592</v>
      </c>
      <c r="G96" s="89">
        <f t="shared" si="4"/>
        <v>506.120289792</v>
      </c>
      <c r="H96" s="90"/>
      <c r="I96" s="91"/>
      <c r="J96" s="10">
        <v>175</v>
      </c>
      <c r="K96" s="13"/>
      <c r="L96" s="72">
        <f t="shared" si="5"/>
        <v>5.4715708725696635</v>
      </c>
      <c r="M96" s="72">
        <f t="shared" si="6"/>
        <v>0</v>
      </c>
      <c r="N96" s="88">
        <f t="shared" si="7"/>
        <v>3.5018053584445847</v>
      </c>
      <c r="O96" s="9">
        <f t="shared" si="8"/>
        <v>254.70162411811782</v>
      </c>
      <c r="P96" s="89">
        <f t="shared" si="9"/>
        <v>265.71094581571583</v>
      </c>
      <c r="Q96" s="89">
        <f t="shared" si="10"/>
        <v>-240.4482464738822</v>
      </c>
      <c r="R96" s="92">
        <f t="shared" si="10"/>
        <v>-240.40934397628416</v>
      </c>
      <c r="T96" s="72">
        <f t="shared" si="11"/>
        <v>7.803351577950429</v>
      </c>
      <c r="U96" s="72">
        <f t="shared" si="12"/>
        <v>0</v>
      </c>
      <c r="V96" s="88">
        <f t="shared" si="13"/>
        <v>5.454542752987351</v>
      </c>
      <c r="W96" s="9">
        <f t="shared" si="14"/>
        <v>713.0702671931101</v>
      </c>
      <c r="X96" s="89">
        <f t="shared" si="15"/>
        <v>727.7886993040272</v>
      </c>
      <c r="Y96" s="89">
        <f t="shared" si="16"/>
        <v>217.9203966011101</v>
      </c>
      <c r="Z96" s="92">
        <f t="shared" si="16"/>
        <v>221.6684095120272</v>
      </c>
      <c r="AB96" s="9">
        <f t="shared" si="17"/>
      </c>
      <c r="AC96" s="4"/>
      <c r="AD96" s="9">
        <f t="shared" si="18"/>
      </c>
      <c r="AE96" s="4"/>
      <c r="AF96" s="9">
        <f t="shared" si="19"/>
        <v>3.731</v>
      </c>
      <c r="AG96" s="4"/>
    </row>
    <row r="97" spans="1:33" ht="15.75">
      <c r="A97" s="66" t="s">
        <v>139</v>
      </c>
      <c r="B97" s="87">
        <v>16.98</v>
      </c>
      <c r="C97" s="72">
        <f t="shared" si="0"/>
        <v>4.3686144</v>
      </c>
      <c r="D97" s="72">
        <f t="shared" si="1"/>
        <v>0</v>
      </c>
      <c r="E97" s="88">
        <f t="shared" si="2"/>
        <v>2.970657792</v>
      </c>
      <c r="F97" s="9">
        <f t="shared" si="3"/>
        <v>394.354821888</v>
      </c>
      <c r="G97" s="89">
        <f t="shared" si="4"/>
        <v>403.09205068800003</v>
      </c>
      <c r="H97" s="90"/>
      <c r="I97" s="91">
        <v>490</v>
      </c>
      <c r="J97" s="10"/>
      <c r="K97" s="13"/>
      <c r="L97" s="72">
        <f t="shared" si="5"/>
        <v>4.357752036408672</v>
      </c>
      <c r="M97" s="72">
        <f t="shared" si="6"/>
        <v>0</v>
      </c>
      <c r="N97" s="88">
        <f t="shared" si="7"/>
        <v>2.78896130330155</v>
      </c>
      <c r="O97" s="9">
        <f t="shared" si="8"/>
        <v>202.85335729482367</v>
      </c>
      <c r="P97" s="89">
        <f t="shared" si="9"/>
        <v>211.62156941608137</v>
      </c>
      <c r="Q97" s="89">
        <f t="shared" si="10"/>
        <v>-191.50146459317634</v>
      </c>
      <c r="R97" s="92">
        <f t="shared" si="10"/>
        <v>-191.47048127191866</v>
      </c>
      <c r="T97" s="72">
        <f t="shared" si="11"/>
        <v>6.214864436847949</v>
      </c>
      <c r="U97" s="72">
        <f t="shared" si="12"/>
        <v>0</v>
      </c>
      <c r="V97" s="88">
        <f t="shared" si="13"/>
        <v>4.344190241356717</v>
      </c>
      <c r="W97" s="9">
        <f t="shared" si="14"/>
        <v>567.9143122391656</v>
      </c>
      <c r="X97" s="89">
        <f t="shared" si="15"/>
        <v>579.6365907215002</v>
      </c>
      <c r="Y97" s="89">
        <f t="shared" si="16"/>
        <v>173.5594903511656</v>
      </c>
      <c r="Z97" s="92">
        <f t="shared" si="16"/>
        <v>176.54454003350014</v>
      </c>
      <c r="AB97" s="9">
        <f t="shared" si="17"/>
      </c>
      <c r="AC97" s="4"/>
      <c r="AD97" s="9">
        <f t="shared" si="18"/>
        <v>8.320200000000002</v>
      </c>
      <c r="AE97" s="4"/>
      <c r="AF97" s="9">
        <f t="shared" si="19"/>
      </c>
      <c r="AG97" s="4"/>
    </row>
    <row r="98" spans="1:33" ht="15.75">
      <c r="A98" s="66" t="s">
        <v>140</v>
      </c>
      <c r="B98" s="87">
        <v>19.32</v>
      </c>
      <c r="C98" s="72">
        <f t="shared" si="0"/>
        <v>4.970649600000001</v>
      </c>
      <c r="D98" s="72">
        <f t="shared" si="1"/>
        <v>0</v>
      </c>
      <c r="E98" s="88">
        <f t="shared" si="2"/>
        <v>3.3800417280000006</v>
      </c>
      <c r="F98" s="9">
        <f t="shared" si="3"/>
        <v>448.70053939200005</v>
      </c>
      <c r="G98" s="89">
        <f t="shared" si="4"/>
        <v>458.64183859200006</v>
      </c>
      <c r="H98" s="90"/>
      <c r="I98" s="91">
        <v>350</v>
      </c>
      <c r="J98" s="10"/>
      <c r="K98" s="13"/>
      <c r="L98" s="72">
        <f t="shared" si="5"/>
        <v>4.95829030291022</v>
      </c>
      <c r="M98" s="72">
        <f t="shared" si="6"/>
        <v>0</v>
      </c>
      <c r="N98" s="88">
        <f t="shared" si="7"/>
        <v>3.173305793862541</v>
      </c>
      <c r="O98" s="9">
        <f t="shared" si="8"/>
        <v>230.80841360047074</v>
      </c>
      <c r="P98" s="89">
        <f t="shared" si="9"/>
        <v>240.7849659080502</v>
      </c>
      <c r="Q98" s="89">
        <f t="shared" si="10"/>
        <v>-217.8921257915293</v>
      </c>
      <c r="R98" s="92">
        <f t="shared" si="10"/>
        <v>-217.85687268394986</v>
      </c>
      <c r="T98" s="72">
        <f t="shared" si="11"/>
        <v>7.071329853940069</v>
      </c>
      <c r="U98" s="72">
        <f t="shared" si="12"/>
        <v>0</v>
      </c>
      <c r="V98" s="88">
        <f t="shared" si="13"/>
        <v>4.942859567904109</v>
      </c>
      <c r="W98" s="9">
        <f t="shared" si="14"/>
        <v>646.1781220530435</v>
      </c>
      <c r="X98" s="89">
        <f t="shared" si="15"/>
        <v>659.5158382060885</v>
      </c>
      <c r="Y98" s="89">
        <f t="shared" si="16"/>
        <v>197.4775826610434</v>
      </c>
      <c r="Z98" s="92">
        <f t="shared" si="16"/>
        <v>200.8739996140884</v>
      </c>
      <c r="AB98" s="9">
        <f t="shared" si="17"/>
      </c>
      <c r="AC98" s="4"/>
      <c r="AD98" s="9">
        <f t="shared" si="18"/>
        <v>6.762</v>
      </c>
      <c r="AE98" s="4"/>
      <c r="AF98" s="9">
        <f t="shared" si="19"/>
      </c>
      <c r="AG98" s="4"/>
    </row>
    <row r="99" spans="1:33" ht="15.75">
      <c r="A99" s="66" t="s">
        <v>115</v>
      </c>
      <c r="B99" s="87">
        <v>17.566</v>
      </c>
      <c r="C99" s="72">
        <f t="shared" si="0"/>
        <v>4.51938048</v>
      </c>
      <c r="D99" s="72">
        <f t="shared" si="1"/>
        <v>0</v>
      </c>
      <c r="E99" s="88">
        <f t="shared" si="2"/>
        <v>3.0731787263999997</v>
      </c>
      <c r="F99" s="9">
        <f t="shared" si="3"/>
        <v>407.9644759295999</v>
      </c>
      <c r="G99" s="89">
        <f t="shared" si="4"/>
        <v>417.0032368895999</v>
      </c>
      <c r="H99" s="90"/>
      <c r="I99" s="91"/>
      <c r="J99" s="10"/>
      <c r="K99" s="13"/>
      <c r="L99" s="72">
        <f t="shared" si="5"/>
        <v>4.508143243318889</v>
      </c>
      <c r="M99" s="72">
        <f t="shared" si="6"/>
        <v>0</v>
      </c>
      <c r="N99" s="88">
        <f t="shared" si="7"/>
        <v>2.885211675724089</v>
      </c>
      <c r="O99" s="9">
        <f t="shared" si="8"/>
        <v>209.85406797649426</v>
      </c>
      <c r="P99" s="89">
        <f t="shared" si="9"/>
        <v>218.92488152902743</v>
      </c>
      <c r="Q99" s="89">
        <f t="shared" si="10"/>
        <v>-198.11040795310566</v>
      </c>
      <c r="R99" s="92">
        <f t="shared" si="10"/>
        <v>-198.0783553605725</v>
      </c>
      <c r="T99" s="72">
        <f t="shared" si="11"/>
        <v>6.429346801982984</v>
      </c>
      <c r="U99" s="72">
        <f t="shared" si="12"/>
        <v>0</v>
      </c>
      <c r="V99" s="88">
        <f t="shared" si="13"/>
        <v>4.494113414586106</v>
      </c>
      <c r="W99" s="9">
        <f t="shared" si="14"/>
        <v>587.513710765205</v>
      </c>
      <c r="X99" s="89">
        <f t="shared" si="15"/>
        <v>599.6405390231961</v>
      </c>
      <c r="Y99" s="89">
        <f t="shared" si="16"/>
        <v>179.5492348356051</v>
      </c>
      <c r="Z99" s="92">
        <f t="shared" si="16"/>
        <v>182.63730213359617</v>
      </c>
      <c r="AB99" s="9">
        <f t="shared" si="17"/>
      </c>
      <c r="AC99" s="4"/>
      <c r="AD99" s="9">
        <f t="shared" si="18"/>
      </c>
      <c r="AE99" s="4"/>
      <c r="AF99" s="9">
        <f t="shared" si="19"/>
      </c>
      <c r="AG99" s="4"/>
    </row>
    <row r="100" spans="1:33" ht="15.75">
      <c r="A100" s="66" t="s">
        <v>116</v>
      </c>
      <c r="B100" s="87">
        <v>19.86</v>
      </c>
      <c r="C100" s="72">
        <f t="shared" si="0"/>
        <v>5.1095808</v>
      </c>
      <c r="D100" s="72">
        <f t="shared" si="1"/>
        <v>0</v>
      </c>
      <c r="E100" s="88">
        <f t="shared" si="2"/>
        <v>3.474514944</v>
      </c>
      <c r="F100" s="9">
        <f t="shared" si="3"/>
        <v>461.241858816</v>
      </c>
      <c r="G100" s="89">
        <f t="shared" si="4"/>
        <v>471.461020416</v>
      </c>
      <c r="H100" s="90"/>
      <c r="I100" s="91"/>
      <c r="J100" s="10"/>
      <c r="K100" s="13"/>
      <c r="L100" s="72">
        <f t="shared" si="5"/>
        <v>5.09687605671827</v>
      </c>
      <c r="M100" s="72">
        <f t="shared" si="6"/>
        <v>0</v>
      </c>
      <c r="N100" s="88">
        <f t="shared" si="7"/>
        <v>3.2620006762996927</v>
      </c>
      <c r="O100" s="9">
        <f t="shared" si="8"/>
        <v>237.25958044023545</v>
      </c>
      <c r="P100" s="89">
        <f t="shared" si="9"/>
        <v>247.51498048311993</v>
      </c>
      <c r="Q100" s="89">
        <f t="shared" si="10"/>
        <v>-223.98227837576454</v>
      </c>
      <c r="R100" s="92">
        <f t="shared" si="10"/>
        <v>-223.94603993288007</v>
      </c>
      <c r="T100" s="72">
        <f t="shared" si="11"/>
        <v>7.268975719422866</v>
      </c>
      <c r="U100" s="72">
        <f t="shared" si="12"/>
        <v>0</v>
      </c>
      <c r="V100" s="88">
        <f t="shared" si="13"/>
        <v>5.081014027876584</v>
      </c>
      <c r="W100" s="9">
        <f t="shared" si="14"/>
        <v>664.2390012408615</v>
      </c>
      <c r="X100" s="89">
        <f t="shared" si="15"/>
        <v>677.9495107025319</v>
      </c>
      <c r="Y100" s="89">
        <f t="shared" si="16"/>
        <v>202.99714242486152</v>
      </c>
      <c r="Z100" s="92">
        <f t="shared" si="16"/>
        <v>206.48849028653194</v>
      </c>
      <c r="AB100" s="9">
        <f t="shared" si="17"/>
      </c>
      <c r="AC100" s="4"/>
      <c r="AD100" s="9">
        <f t="shared" si="18"/>
      </c>
      <c r="AE100" s="4"/>
      <c r="AF100" s="9">
        <f t="shared" si="19"/>
      </c>
      <c r="AG100" s="4"/>
    </row>
    <row r="101" spans="1:33" ht="15.75">
      <c r="A101" s="66" t="s">
        <v>141</v>
      </c>
      <c r="B101" s="87">
        <v>21.09</v>
      </c>
      <c r="C101" s="72">
        <f t="shared" si="0"/>
        <v>5.4260352</v>
      </c>
      <c r="D101" s="72">
        <f t="shared" si="1"/>
        <v>0</v>
      </c>
      <c r="E101" s="88">
        <f t="shared" si="2"/>
        <v>3.6897039360000004</v>
      </c>
      <c r="F101" s="9">
        <f t="shared" si="3"/>
        <v>489.808197504</v>
      </c>
      <c r="G101" s="89">
        <f t="shared" si="4"/>
        <v>500.660267904</v>
      </c>
      <c r="H101" s="90"/>
      <c r="I101" s="91"/>
      <c r="J101" s="10"/>
      <c r="K101" s="13"/>
      <c r="L101" s="72">
        <f t="shared" si="5"/>
        <v>5.4125436070588275</v>
      </c>
      <c r="M101" s="72">
        <f t="shared" si="6"/>
        <v>0</v>
      </c>
      <c r="N101" s="88">
        <f t="shared" si="7"/>
        <v>3.4640279085176497</v>
      </c>
      <c r="O101" s="9">
        <f t="shared" si="8"/>
        <v>251.9539049085884</v>
      </c>
      <c r="P101" s="89">
        <f t="shared" si="9"/>
        <v>262.8444581263343</v>
      </c>
      <c r="Q101" s="89">
        <f t="shared" si="10"/>
        <v>-237.8542925954116</v>
      </c>
      <c r="R101" s="92">
        <f t="shared" si="10"/>
        <v>-237.81580977766572</v>
      </c>
      <c r="T101" s="72">
        <f t="shared" si="11"/>
        <v>7.719169079689237</v>
      </c>
      <c r="U101" s="72">
        <f t="shared" si="12"/>
        <v>0</v>
      </c>
      <c r="V101" s="88">
        <f t="shared" si="13"/>
        <v>5.395699186702777</v>
      </c>
      <c r="W101" s="9">
        <f t="shared" si="14"/>
        <v>705.3776705020025</v>
      </c>
      <c r="X101" s="89">
        <f t="shared" si="15"/>
        <v>719.9373202777643</v>
      </c>
      <c r="Y101" s="89">
        <f t="shared" si="16"/>
        <v>215.56947299800248</v>
      </c>
      <c r="Z101" s="92">
        <f t="shared" si="16"/>
        <v>219.27705237376432</v>
      </c>
      <c r="AB101" s="9">
        <f t="shared" si="17"/>
      </c>
      <c r="AC101" s="4"/>
      <c r="AD101" s="9">
        <f t="shared" si="18"/>
      </c>
      <c r="AE101" s="4"/>
      <c r="AF101" s="9">
        <f t="shared" si="19"/>
      </c>
      <c r="AG101" s="4"/>
    </row>
    <row r="102" spans="1:33" ht="15.75">
      <c r="A102" s="66" t="s">
        <v>142</v>
      </c>
      <c r="B102" s="87">
        <v>22.35</v>
      </c>
      <c r="C102" s="72">
        <f t="shared" si="0"/>
        <v>5.750208000000001</v>
      </c>
      <c r="D102" s="72">
        <f t="shared" si="1"/>
        <v>0</v>
      </c>
      <c r="E102" s="88">
        <f t="shared" si="2"/>
        <v>3.9101414400000003</v>
      </c>
      <c r="F102" s="9">
        <f t="shared" si="3"/>
        <v>519.07127616</v>
      </c>
      <c r="G102" s="89">
        <f t="shared" si="4"/>
        <v>530.57169216</v>
      </c>
      <c r="H102" s="90"/>
      <c r="I102" s="91"/>
      <c r="J102" s="10"/>
      <c r="K102" s="13"/>
      <c r="L102" s="72">
        <f t="shared" si="5"/>
        <v>5.735910365944277</v>
      </c>
      <c r="M102" s="72">
        <f t="shared" si="6"/>
        <v>0</v>
      </c>
      <c r="N102" s="88">
        <f t="shared" si="7"/>
        <v>3.6709826342043375</v>
      </c>
      <c r="O102" s="9">
        <f t="shared" si="8"/>
        <v>267.00662753470607</v>
      </c>
      <c r="P102" s="89">
        <f t="shared" si="9"/>
        <v>278.54782546816364</v>
      </c>
      <c r="Q102" s="89">
        <f t="shared" si="10"/>
        <v>-252.06464862529396</v>
      </c>
      <c r="R102" s="92">
        <f t="shared" si="10"/>
        <v>-252.02386669183636</v>
      </c>
      <c r="T102" s="72">
        <f t="shared" si="11"/>
        <v>8.180342765815764</v>
      </c>
      <c r="U102" s="72">
        <f t="shared" si="12"/>
        <v>0</v>
      </c>
      <c r="V102" s="88">
        <f t="shared" si="13"/>
        <v>5.71805959330522</v>
      </c>
      <c r="W102" s="9">
        <f t="shared" si="14"/>
        <v>747.5197219402445</v>
      </c>
      <c r="X102" s="89">
        <f t="shared" si="15"/>
        <v>762.9492227694658</v>
      </c>
      <c r="Y102" s="89">
        <f t="shared" si="16"/>
        <v>228.44844578024447</v>
      </c>
      <c r="Z102" s="92">
        <f t="shared" si="16"/>
        <v>232.3775306094658</v>
      </c>
      <c r="AB102" s="9">
        <f t="shared" si="17"/>
      </c>
      <c r="AC102" s="4"/>
      <c r="AD102" s="9">
        <f t="shared" si="18"/>
      </c>
      <c r="AE102" s="4"/>
      <c r="AF102" s="9">
        <f t="shared" si="19"/>
      </c>
      <c r="AG102" s="4"/>
    </row>
    <row r="103" spans="1:33" ht="15.75">
      <c r="A103" s="66" t="s">
        <v>143</v>
      </c>
      <c r="B103" s="87">
        <v>21.69</v>
      </c>
      <c r="C103" s="72">
        <f t="shared" si="0"/>
        <v>5.5804032</v>
      </c>
      <c r="D103" s="72">
        <f t="shared" si="1"/>
        <v>0</v>
      </c>
      <c r="E103" s="88">
        <f t="shared" si="2"/>
        <v>3.7946741760000005</v>
      </c>
      <c r="F103" s="9">
        <f t="shared" si="3"/>
        <v>503.74299686399996</v>
      </c>
      <c r="G103" s="89">
        <f t="shared" si="4"/>
        <v>514.903803264</v>
      </c>
      <c r="H103" s="90"/>
      <c r="I103" s="91"/>
      <c r="J103" s="10"/>
      <c r="K103" s="13"/>
      <c r="L103" s="72">
        <f t="shared" si="5"/>
        <v>5.566527777956661</v>
      </c>
      <c r="M103" s="72">
        <f t="shared" si="6"/>
        <v>0</v>
      </c>
      <c r="N103" s="88">
        <f t="shared" si="7"/>
        <v>3.5625777778922627</v>
      </c>
      <c r="O103" s="9">
        <f t="shared" si="8"/>
        <v>259.1218680638825</v>
      </c>
      <c r="P103" s="89">
        <f t="shared" si="9"/>
        <v>270.32225209863395</v>
      </c>
      <c r="Q103" s="89">
        <f t="shared" si="10"/>
        <v>-244.62112880011745</v>
      </c>
      <c r="R103" s="92">
        <f t="shared" si="10"/>
        <v>-244.58155116536602</v>
      </c>
      <c r="T103" s="72">
        <f t="shared" si="11"/>
        <v>7.938775596892345</v>
      </c>
      <c r="U103" s="72">
        <f t="shared" si="12"/>
        <v>0</v>
      </c>
      <c r="V103" s="88">
        <f t="shared" si="13"/>
        <v>5.54920414222775</v>
      </c>
      <c r="W103" s="9">
        <f t="shared" si="14"/>
        <v>725.4453140440224</v>
      </c>
      <c r="X103" s="89">
        <f t="shared" si="15"/>
        <v>740.4191786071459</v>
      </c>
      <c r="Y103" s="89">
        <f t="shared" si="16"/>
        <v>221.70231718002248</v>
      </c>
      <c r="Z103" s="92">
        <f t="shared" si="16"/>
        <v>225.51537534314593</v>
      </c>
      <c r="AB103" s="9">
        <f t="shared" si="17"/>
      </c>
      <c r="AC103" s="4"/>
      <c r="AD103" s="9">
        <f t="shared" si="18"/>
      </c>
      <c r="AE103" s="4"/>
      <c r="AF103" s="9">
        <f t="shared" si="19"/>
      </c>
      <c r="AG103" s="4"/>
    </row>
    <row r="104" spans="1:33" ht="15.75">
      <c r="A104" s="66" t="s">
        <v>120</v>
      </c>
      <c r="B104" s="87">
        <v>22.17</v>
      </c>
      <c r="C104" s="72">
        <f t="shared" si="0"/>
        <v>5.7038976</v>
      </c>
      <c r="D104" s="72">
        <f t="shared" si="1"/>
        <v>0</v>
      </c>
      <c r="E104" s="88">
        <f t="shared" si="2"/>
        <v>3.8786503680000006</v>
      </c>
      <c r="F104" s="9">
        <f t="shared" si="3"/>
        <v>514.8908363520001</v>
      </c>
      <c r="G104" s="89">
        <f t="shared" si="4"/>
        <v>526.2986315520001</v>
      </c>
      <c r="H104" s="90"/>
      <c r="I104" s="91"/>
      <c r="J104" s="10"/>
      <c r="K104" s="13"/>
      <c r="L104" s="72">
        <f t="shared" si="5"/>
        <v>5.689715114674928</v>
      </c>
      <c r="M104" s="72">
        <f t="shared" si="6"/>
        <v>0</v>
      </c>
      <c r="N104" s="88">
        <f t="shared" si="7"/>
        <v>3.641417673391954</v>
      </c>
      <c r="O104" s="9">
        <f t="shared" si="8"/>
        <v>264.8562385881179</v>
      </c>
      <c r="P104" s="89">
        <f t="shared" si="9"/>
        <v>276.3044872764738</v>
      </c>
      <c r="Q104" s="89">
        <f t="shared" si="10"/>
        <v>-250.03459776388218</v>
      </c>
      <c r="R104" s="92">
        <f t="shared" si="10"/>
        <v>-249.99414427552625</v>
      </c>
      <c r="T104" s="72">
        <f t="shared" si="11"/>
        <v>8.114460810654831</v>
      </c>
      <c r="U104" s="72">
        <f t="shared" si="12"/>
        <v>0</v>
      </c>
      <c r="V104" s="88">
        <f t="shared" si="13"/>
        <v>5.672008106647728</v>
      </c>
      <c r="W104" s="9">
        <f t="shared" si="14"/>
        <v>741.4994288776385</v>
      </c>
      <c r="X104" s="89">
        <f t="shared" si="15"/>
        <v>756.8046652706513</v>
      </c>
      <c r="Y104" s="89">
        <f t="shared" si="16"/>
        <v>226.60859252563841</v>
      </c>
      <c r="Z104" s="92">
        <f t="shared" si="16"/>
        <v>230.50603371865122</v>
      </c>
      <c r="AB104" s="9">
        <f t="shared" si="17"/>
      </c>
      <c r="AC104" s="4"/>
      <c r="AD104" s="9">
        <f t="shared" si="18"/>
      </c>
      <c r="AE104" s="4"/>
      <c r="AF104" s="9">
        <f t="shared" si="19"/>
      </c>
      <c r="AG104" s="4"/>
    </row>
    <row r="105" spans="1:33" ht="15.75">
      <c r="A105" s="66" t="s">
        <v>121</v>
      </c>
      <c r="B105" s="87">
        <v>24.71</v>
      </c>
      <c r="C105" s="72">
        <f t="shared" si="0"/>
        <v>6.357388800000001</v>
      </c>
      <c r="D105" s="72">
        <f t="shared" si="1"/>
        <v>0</v>
      </c>
      <c r="E105" s="88">
        <f t="shared" si="2"/>
        <v>4.323024384</v>
      </c>
      <c r="F105" s="9">
        <f t="shared" si="3"/>
        <v>573.881486976</v>
      </c>
      <c r="G105" s="89">
        <f t="shared" si="4"/>
        <v>586.5962645760001</v>
      </c>
      <c r="H105" s="90"/>
      <c r="I105" s="91"/>
      <c r="J105" s="10"/>
      <c r="K105" s="13"/>
      <c r="L105" s="72">
        <f t="shared" si="5"/>
        <v>6.34158143814242</v>
      </c>
      <c r="M105" s="72">
        <f t="shared" si="6"/>
        <v>0</v>
      </c>
      <c r="N105" s="88">
        <f t="shared" si="7"/>
        <v>4.058612120411149</v>
      </c>
      <c r="O105" s="9">
        <f t="shared" si="8"/>
        <v>295.20061594552965</v>
      </c>
      <c r="P105" s="89">
        <f t="shared" si="9"/>
        <v>307.9604817592092</v>
      </c>
      <c r="Q105" s="89">
        <f t="shared" si="10"/>
        <v>-278.68087103047037</v>
      </c>
      <c r="R105" s="92">
        <f t="shared" si="10"/>
        <v>-278.6357828167909</v>
      </c>
      <c r="T105" s="72">
        <f t="shared" si="11"/>
        <v>9.044128400147988</v>
      </c>
      <c r="U105" s="72">
        <f t="shared" si="12"/>
        <v>0</v>
      </c>
      <c r="V105" s="88">
        <f t="shared" si="13"/>
        <v>6.321845751703444</v>
      </c>
      <c r="W105" s="9">
        <f t="shared" si="14"/>
        <v>826.4524532055232</v>
      </c>
      <c r="X105" s="89">
        <f t="shared" si="15"/>
        <v>843.5111988650336</v>
      </c>
      <c r="Y105" s="89">
        <f t="shared" si="16"/>
        <v>252.57096622952315</v>
      </c>
      <c r="Z105" s="92">
        <f t="shared" si="16"/>
        <v>256.91493428903357</v>
      </c>
      <c r="AB105" s="9">
        <f t="shared" si="17"/>
      </c>
      <c r="AC105" s="4"/>
      <c r="AD105" s="9">
        <f t="shared" si="18"/>
      </c>
      <c r="AE105" s="4"/>
      <c r="AF105" s="9">
        <f t="shared" si="19"/>
      </c>
      <c r="AG105" s="4"/>
    </row>
    <row r="106" spans="1:32" ht="15.75">
      <c r="A106" s="64"/>
      <c r="B106" s="64"/>
      <c r="C106" s="17"/>
      <c r="D106" s="17"/>
      <c r="E106" s="20"/>
      <c r="F106" s="18"/>
      <c r="G106" s="93" t="s">
        <v>122</v>
      </c>
      <c r="H106" s="94">
        <f>SUM(H87:H105)</f>
        <v>1404</v>
      </c>
      <c r="I106" s="95">
        <f>SUM(I87:I105)</f>
        <v>1500</v>
      </c>
      <c r="J106" s="96">
        <f>SUM(J87:J105)</f>
        <v>955</v>
      </c>
      <c r="K106" s="21"/>
      <c r="L106" s="17"/>
      <c r="M106" s="17"/>
      <c r="N106" s="20"/>
      <c r="O106" s="97"/>
      <c r="P106" s="98"/>
      <c r="Q106" s="98"/>
      <c r="R106" s="99"/>
      <c r="T106" s="17"/>
      <c r="U106" s="17"/>
      <c r="V106" s="100"/>
      <c r="W106" s="97"/>
      <c r="X106" s="98"/>
      <c r="Y106" s="98"/>
      <c r="Z106" s="99"/>
      <c r="AB106" s="5">
        <f>SUM(AB87:AB105)*1000/H106</f>
        <v>23.505133903133903</v>
      </c>
      <c r="AD106" s="5">
        <f>SUM(AD87:AD105)*1000/I106</f>
        <v>18.270482666666666</v>
      </c>
      <c r="AF106" s="5">
        <f>SUM(AF87:AF105)*1000/J106</f>
        <v>20.88125654450262</v>
      </c>
    </row>
    <row r="107" spans="1:26" ht="15.75">
      <c r="A107" s="62" t="str">
        <f>H85</f>
        <v>Sochaux</v>
      </c>
      <c r="B107" s="72">
        <f>AB106</f>
        <v>23.505133903133903</v>
      </c>
      <c r="C107" s="72">
        <f>$G$80*$B107/G$79</f>
        <v>6.047400850598291</v>
      </c>
      <c r="D107" s="72">
        <f>$G$81*$B107/G$79</f>
        <v>0</v>
      </c>
      <c r="E107" s="88">
        <f>IF(H$9="S",C107*(100-H$14)/100+D107*(100-H$22)/100,(C107*H$15+D107*H$23)/100)</f>
        <v>4.112232578406838</v>
      </c>
      <c r="F107" s="9">
        <f>IF(H$8="M",C107*H$18,(C107*H$18)+(D107*H$71))</f>
        <v>545.8988747835077</v>
      </c>
      <c r="G107" s="89">
        <f>IF(H$64=0,F107,F107+C107/H$13*H$75)</f>
        <v>557.9936764847043</v>
      </c>
      <c r="H107" s="89"/>
      <c r="I107" s="92"/>
      <c r="J107" s="9"/>
      <c r="K107" s="13"/>
      <c r="L107" s="72">
        <f>$P$80*$B107/P$79</f>
        <v>6.03236425986103</v>
      </c>
      <c r="M107" s="72">
        <f>$P$81*$B107/P$79</f>
        <v>0</v>
      </c>
      <c r="N107" s="88">
        <f>IF(Q$9="S",L107*(100-Q$14)/100+M107*(100-Q$22)/100,(L107*Q$15+M107*Q$23)/100)</f>
        <v>3.860713126311059</v>
      </c>
      <c r="O107" s="9">
        <f>IF(Q$8="M",L107*Q$18,(L107*Q$18)+(M107*Q$71))</f>
        <v>280.8065562965309</v>
      </c>
      <c r="P107" s="89">
        <f>IF(Q$64=0,O107,O107+L107/Q$13*Q$75)</f>
        <v>292.9442476982532</v>
      </c>
      <c r="Q107" s="89">
        <f aca="true" t="shared" si="20" ref="Q107:R109">O107-F107</f>
        <v>-265.0923184869768</v>
      </c>
      <c r="R107" s="92">
        <f t="shared" si="20"/>
        <v>-265.04942878645113</v>
      </c>
      <c r="T107" s="72">
        <f>$X$80*$B107/X$79</f>
        <v>8.603134321433211</v>
      </c>
      <c r="U107" s="72">
        <f>$X$81*$B107/X$79</f>
        <v>0</v>
      </c>
      <c r="V107" s="88">
        <f>IF(Y$9="S",T107*(100-Y$14)/100+U107*(100-Y$22)/100,(T107*Y$15+U107*Y$23)/100)</f>
        <v>6.013590890681815</v>
      </c>
      <c r="W107" s="9">
        <f>IF(Y$8="M",T107*Y$18,(T107*Y$18)+(U107*Y$71))</f>
        <v>786.1544142925668</v>
      </c>
      <c r="X107" s="89">
        <f>IF(Y$64=0,W107,W107+T107/Y$13*Y$75)</f>
        <v>802.3813710285561</v>
      </c>
      <c r="Y107" s="89">
        <f aca="true" t="shared" si="21" ref="Y107:Z109">W107-F107</f>
        <v>240.25553950905908</v>
      </c>
      <c r="Z107" s="92">
        <f t="shared" si="21"/>
        <v>244.3876945438518</v>
      </c>
    </row>
    <row r="108" spans="1:26" ht="15.75">
      <c r="A108" s="62" t="str">
        <f>I85</f>
        <v>Mulh.</v>
      </c>
      <c r="B108" s="72">
        <f>AD106</f>
        <v>18.270482666666666</v>
      </c>
      <c r="C108" s="72">
        <f>$G$80*$B108/G$79</f>
        <v>4.70062978048</v>
      </c>
      <c r="D108" s="72">
        <f>$G$81*$B108/G$79</f>
        <v>0</v>
      </c>
      <c r="E108" s="88">
        <f>IF(H$9="S",C108*(100-H$14)/100+D108*(100-H$22)/100,(C108*H$15+D108*H$23)/100)</f>
        <v>3.1964282507264</v>
      </c>
      <c r="F108" s="9">
        <f>IF(H$8="M",C108*H$18,(C108*H$18)+(D108*H$71))</f>
        <v>424.3258502839296</v>
      </c>
      <c r="G108" s="89">
        <f>IF(H$64=0,F108,F108+C108/H$13*H$75)</f>
        <v>433.7271098448896</v>
      </c>
      <c r="H108" s="89"/>
      <c r="I108" s="92"/>
      <c r="J108" s="9"/>
      <c r="K108" s="13"/>
      <c r="L108" s="72">
        <f>$P$80*$B108/P$79</f>
        <v>4.6889418755498244</v>
      </c>
      <c r="M108" s="72">
        <f>$P$81*$B108/P$79</f>
        <v>0</v>
      </c>
      <c r="N108" s="88">
        <f>IF(Q$9="S",L108*(100-Q$14)/100+M108*(100-Q$22)/100,(L108*Q$15+M108*Q$23)/100)</f>
        <v>3.0009228003518875</v>
      </c>
      <c r="O108" s="9">
        <f>IF(Q$8="M",L108*Q$18,(L108*Q$18)+(M108*Q$71))</f>
        <v>218.27024430684432</v>
      </c>
      <c r="P108" s="89">
        <f>IF(Q$64=0,O108,O108+L108/Q$13*Q$75)</f>
        <v>227.70484192634348</v>
      </c>
      <c r="Q108" s="89">
        <f t="shared" si="20"/>
        <v>-206.05560597708526</v>
      </c>
      <c r="R108" s="92">
        <f t="shared" si="20"/>
        <v>-206.0222679185461</v>
      </c>
      <c r="T108" s="72">
        <f>$X$80*$B108/X$79</f>
        <v>6.687195110077359</v>
      </c>
      <c r="U108" s="72">
        <f>$X$81*$B108/X$79</f>
        <v>0</v>
      </c>
      <c r="V108" s="88">
        <f>IF(Y$9="S",T108*(100-Y$14)/100+U108*(100-Y$22)/100,(T108*Y$15+U108*Y$23)/100)</f>
        <v>4.674349381944074</v>
      </c>
      <c r="W108" s="9">
        <f>IF(Y$8="M",T108*Y$18,(T108*Y$18)+(U108*Y$71))</f>
        <v>611.075889158869</v>
      </c>
      <c r="X108" s="89">
        <f>IF(Y$64=0,W108,W108+T108/Y$13*Y$75)</f>
        <v>623.6890626468156</v>
      </c>
      <c r="Y108" s="89">
        <f t="shared" si="21"/>
        <v>186.75003887493943</v>
      </c>
      <c r="Z108" s="92">
        <f t="shared" si="21"/>
        <v>189.96195280192603</v>
      </c>
    </row>
    <row r="109" spans="1:26" ht="15.75">
      <c r="A109" s="62" t="str">
        <f>J85</f>
        <v>Poissy</v>
      </c>
      <c r="B109" s="72">
        <f>AF106</f>
        <v>20.88125654450262</v>
      </c>
      <c r="C109" s="100">
        <f>$G$80*$B109/G$79</f>
        <v>5.372329683769634</v>
      </c>
      <c r="D109" s="72">
        <f>$G$81*$B109/G$79</f>
        <v>0</v>
      </c>
      <c r="E109" s="88">
        <f>IF(H$9="S",C109*(100-H$14)/100+D109*(100-H$22)/100,(C109*H$15+D109*H$23)/100)</f>
        <v>3.6531841849633513</v>
      </c>
      <c r="F109" s="9">
        <f>IF(H$8="M",C109*H$18,(C109*H$18)+(D109*H$71))</f>
        <v>484.9602005538849</v>
      </c>
      <c r="G109" s="89">
        <f>IF(H$64=0,F109,F109+C109/H$13*H$75)</f>
        <v>495.70485992142414</v>
      </c>
      <c r="H109" s="89"/>
      <c r="I109" s="92"/>
      <c r="J109" s="9"/>
      <c r="K109" s="13"/>
      <c r="L109" s="72">
        <f>$P$80*$B109/P$79</f>
        <v>5.35897162718364</v>
      </c>
      <c r="M109" s="72">
        <f>$P$81*$B109/P$79</f>
        <v>0</v>
      </c>
      <c r="N109" s="88">
        <f>IF(Q$9="S",L109*(100-Q$14)/100+M109*(100-Q$22)/100,(L109*Q$15+M109*Q$23)/100)</f>
        <v>3.4297418413975294</v>
      </c>
      <c r="O109" s="9">
        <f>IF(Q$8="M",L109*Q$18,(L109*Q$18)+(M109*Q$71))</f>
        <v>249.4601292453984</v>
      </c>
      <c r="P109" s="89">
        <f>IF(Q$64=0,O109,O109+L109/Q$13*Q$75)</f>
        <v>260.2428905375421</v>
      </c>
      <c r="Q109" s="89">
        <f t="shared" si="20"/>
        <v>-235.50007130848647</v>
      </c>
      <c r="R109" s="92">
        <f t="shared" si="20"/>
        <v>-235.46196938388204</v>
      </c>
      <c r="T109" s="72">
        <f>$X$80*$B109/X$79</f>
        <v>7.642766707604701</v>
      </c>
      <c r="U109" s="72">
        <f>$X$81*$B109/X$79</f>
        <v>0</v>
      </c>
      <c r="V109" s="88">
        <f>IF(Y$9="S",T109*(100-Y$14)/100+U109*(100-Y$22)/100,(T109*Y$15+U109*Y$23)/100)</f>
        <v>5.342293928615686</v>
      </c>
      <c r="W109" s="9">
        <f>IF(Y$8="M",T109*Y$18,(T109*Y$18)+(U109*Y$71))</f>
        <v>698.3960217409175</v>
      </c>
      <c r="X109" s="89">
        <f>IF(Y$64=0,W109,W109+T109/Y$13*Y$75)</f>
        <v>712.811563806626</v>
      </c>
      <c r="Y109" s="89">
        <f t="shared" si="21"/>
        <v>213.43582118703262</v>
      </c>
      <c r="Z109" s="92">
        <f t="shared" si="21"/>
        <v>217.1067038852019</v>
      </c>
    </row>
    <row r="110" spans="1:26" ht="15.75">
      <c r="A110" s="54" t="str">
        <f>A6</f>
        <v>BASES</v>
      </c>
      <c r="B110" s="15"/>
      <c r="C110" s="104"/>
      <c r="D110" s="15"/>
      <c r="E110" s="15"/>
      <c r="F110" s="15"/>
      <c r="G110" s="101" t="str">
        <f>G5</f>
        <v>Rouge Vallelllunga</v>
      </c>
      <c r="H110" s="15"/>
      <c r="I110" s="15"/>
      <c r="J110" s="15"/>
      <c r="K110" s="15"/>
      <c r="L110" s="15"/>
      <c r="M110" s="15"/>
      <c r="N110" s="15"/>
      <c r="O110" s="15"/>
      <c r="P110" s="101" t="str">
        <f>P5</f>
        <v>Rouge Vallelllunga</v>
      </c>
      <c r="Q110" s="15"/>
      <c r="R110" s="15"/>
      <c r="S110" s="15"/>
      <c r="T110" s="15"/>
      <c r="U110" s="15"/>
      <c r="V110" s="15"/>
      <c r="W110" s="15"/>
      <c r="X110" s="101" t="str">
        <f>X5</f>
        <v>Rouge Ecarlate</v>
      </c>
      <c r="Y110" s="15"/>
      <c r="Z110" s="15"/>
    </row>
  </sheetData>
  <printOptions/>
  <pageMargins left="0.197" right="0.197" top="0.591" bottom="0.197" header="0.4921259845" footer="0.4921259845"/>
  <pageSetup fitToHeight="0" fitToWidth="1" horizontalDpi="300" verticalDpi="300" orientation="landscape" paperSize="9" scale="59" r:id="rId1"/>
  <headerFooter alignWithMargins="0">
    <oddHeader>&amp;C&amp;R Page &amp;P</oddHeader>
  </headerFooter>
  <rowBreaks count="1" manualBreakCount="1">
    <brk id="53" max="6553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10"/>
  <sheetViews>
    <sheetView zoomScale="50" zoomScaleNormal="50" workbookViewId="0" topLeftCell="A1">
      <selection activeCell="A3" sqref="A3"/>
    </sheetView>
  </sheetViews>
  <sheetFormatPr defaultColWidth="9.77734375" defaultRowHeight="15.75"/>
  <cols>
    <col min="1" max="1" width="9.77734375" style="0" customWidth="1"/>
    <col min="2" max="9" width="7.77734375" style="0" customWidth="1"/>
    <col min="10" max="10" width="5.77734375" style="0" customWidth="1"/>
    <col min="11" max="11" width="2.77734375" style="0" customWidth="1"/>
    <col min="12" max="18" width="7.77734375" style="0" customWidth="1"/>
    <col min="19" max="19" width="2.77734375" style="0" customWidth="1"/>
    <col min="20" max="26" width="7.77734375" style="0" customWidth="1"/>
    <col min="27" max="33" width="8.77734375" style="0" customWidth="1"/>
  </cols>
  <sheetData>
    <row r="1" ht="15.75">
      <c r="A1" s="35" t="s">
        <v>0</v>
      </c>
    </row>
    <row r="2" spans="1:13" ht="19.5">
      <c r="A2" s="2">
        <f ca="1">TRUNC(NOW())</f>
        <v>42721</v>
      </c>
      <c r="B2" s="1" t="s">
        <v>1</v>
      </c>
      <c r="G2" s="34"/>
      <c r="M2" s="36" t="s">
        <v>2</v>
      </c>
    </row>
    <row r="3" spans="1:2" ht="15.75">
      <c r="A3" s="103" t="s">
        <v>389</v>
      </c>
      <c r="B3" s="1" t="s">
        <v>3</v>
      </c>
    </row>
    <row r="5" spans="1:256" ht="15.75">
      <c r="A5" s="37"/>
      <c r="B5" s="38"/>
      <c r="C5" s="39" t="s">
        <v>4</v>
      </c>
      <c r="D5" s="40"/>
      <c r="E5" s="40"/>
      <c r="F5" s="40"/>
      <c r="G5" s="41" t="s">
        <v>144</v>
      </c>
      <c r="H5" s="40"/>
      <c r="I5" s="38"/>
      <c r="J5" s="42"/>
      <c r="K5" s="42"/>
      <c r="L5" s="41" t="s">
        <v>4</v>
      </c>
      <c r="M5" s="40"/>
      <c r="N5" s="40"/>
      <c r="O5" s="40"/>
      <c r="P5" s="41" t="s">
        <v>144</v>
      </c>
      <c r="Q5" s="40"/>
      <c r="R5" s="38"/>
      <c r="S5" s="42"/>
      <c r="T5" s="41" t="s">
        <v>4</v>
      </c>
      <c r="U5" s="40"/>
      <c r="V5" s="40"/>
      <c r="W5" s="40"/>
      <c r="X5" s="41" t="s">
        <v>145</v>
      </c>
      <c r="Y5" s="40"/>
      <c r="Z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6" ht="20.25" thickBot="1">
      <c r="A6" s="43" t="s">
        <v>146</v>
      </c>
      <c r="B6" s="44"/>
      <c r="C6" s="35" t="s">
        <v>7</v>
      </c>
      <c r="D6" s="24"/>
      <c r="E6" s="24"/>
      <c r="F6" s="24"/>
      <c r="G6" s="45" t="s">
        <v>9</v>
      </c>
      <c r="H6" s="42"/>
      <c r="I6" s="44"/>
      <c r="J6" s="46"/>
      <c r="K6" s="24"/>
      <c r="L6" s="47" t="s">
        <v>7</v>
      </c>
      <c r="M6" s="24"/>
      <c r="N6" s="24"/>
      <c r="O6" s="24"/>
      <c r="P6" s="45" t="s">
        <v>8</v>
      </c>
      <c r="Q6" s="42"/>
      <c r="R6" s="44"/>
      <c r="S6" s="24"/>
      <c r="T6" s="47" t="s">
        <v>7</v>
      </c>
      <c r="U6" s="24"/>
      <c r="V6" s="24"/>
      <c r="W6" s="24"/>
      <c r="X6" s="45" t="s">
        <v>8</v>
      </c>
      <c r="Y6" s="42"/>
      <c r="Z6" s="28"/>
    </row>
    <row r="7" spans="1:26" ht="15.75">
      <c r="A7" s="48"/>
      <c r="B7" s="49"/>
      <c r="C7" s="50" t="s">
        <v>10</v>
      </c>
      <c r="D7" s="26"/>
      <c r="E7" s="26"/>
      <c r="F7" s="26"/>
      <c r="G7" s="51" t="s">
        <v>147</v>
      </c>
      <c r="H7" s="52"/>
      <c r="I7" s="49"/>
      <c r="J7" s="24"/>
      <c r="K7" s="24"/>
      <c r="L7" s="53" t="s">
        <v>10</v>
      </c>
      <c r="M7" s="26"/>
      <c r="N7" s="26"/>
      <c r="O7" s="26"/>
      <c r="P7" s="51" t="s">
        <v>148</v>
      </c>
      <c r="Q7" s="52"/>
      <c r="R7" s="49"/>
      <c r="S7" s="24"/>
      <c r="T7" s="47" t="s">
        <v>10</v>
      </c>
      <c r="U7" s="24"/>
      <c r="V7" s="24"/>
      <c r="W7" s="24"/>
      <c r="X7" s="45" t="s">
        <v>130</v>
      </c>
      <c r="Y7" s="42"/>
      <c r="Z7" s="28"/>
    </row>
    <row r="8" spans="1:26" ht="15.75">
      <c r="A8" s="14"/>
      <c r="B8" s="15"/>
      <c r="C8" s="54" t="s">
        <v>12</v>
      </c>
      <c r="D8" s="15"/>
      <c r="E8" s="15"/>
      <c r="F8" s="15"/>
      <c r="G8" s="15"/>
      <c r="H8" s="41" t="s">
        <v>131</v>
      </c>
      <c r="I8" s="16"/>
      <c r="L8" s="55" t="s">
        <v>12</v>
      </c>
      <c r="Q8" s="45" t="s">
        <v>131</v>
      </c>
      <c r="R8" s="13"/>
      <c r="T8" s="56" t="s">
        <v>12</v>
      </c>
      <c r="U8" s="15"/>
      <c r="V8" s="15"/>
      <c r="W8" s="15"/>
      <c r="X8" s="15"/>
      <c r="Y8" s="41" t="s">
        <v>131</v>
      </c>
      <c r="Z8" s="16"/>
    </row>
    <row r="9" spans="1:26" ht="15.75">
      <c r="A9" s="17"/>
      <c r="B9" s="18"/>
      <c r="C9" s="57" t="s">
        <v>14</v>
      </c>
      <c r="D9" s="18"/>
      <c r="E9" s="18"/>
      <c r="F9" s="18"/>
      <c r="G9" s="18"/>
      <c r="H9" s="51" t="s">
        <v>132</v>
      </c>
      <c r="I9" s="19"/>
      <c r="L9" s="58" t="s">
        <v>14</v>
      </c>
      <c r="M9" s="18"/>
      <c r="N9" s="18"/>
      <c r="O9" s="18"/>
      <c r="P9" s="18"/>
      <c r="Q9" s="51" t="s">
        <v>132</v>
      </c>
      <c r="R9" s="19"/>
      <c r="T9" s="58" t="s">
        <v>14</v>
      </c>
      <c r="U9" s="18"/>
      <c r="V9" s="18"/>
      <c r="W9" s="18"/>
      <c r="X9" s="18"/>
      <c r="Y9" s="51" t="s">
        <v>132</v>
      </c>
      <c r="Z9" s="19"/>
    </row>
    <row r="10" spans="1:26" ht="15.75">
      <c r="A10" s="59" t="s">
        <v>16</v>
      </c>
      <c r="B10" s="22"/>
      <c r="C10" s="15"/>
      <c r="D10" s="15"/>
      <c r="E10" s="15"/>
      <c r="F10" s="15"/>
      <c r="G10" s="15"/>
      <c r="H10" s="14"/>
      <c r="I10" s="16"/>
      <c r="L10" s="47" t="s">
        <v>16</v>
      </c>
      <c r="M10" s="24"/>
      <c r="N10" s="24"/>
      <c r="O10" s="24"/>
      <c r="P10" s="24"/>
      <c r="Q10" s="60"/>
      <c r="R10" s="28"/>
      <c r="S10" s="24"/>
      <c r="T10" s="47" t="s">
        <v>16</v>
      </c>
      <c r="U10" s="24"/>
      <c r="Y10" s="61"/>
      <c r="Z10" s="13"/>
    </row>
    <row r="11" spans="1:26" ht="15.75">
      <c r="A11" s="23"/>
      <c r="B11" s="24"/>
      <c r="C11" s="1" t="s">
        <v>17</v>
      </c>
      <c r="H11" s="62">
        <f>IF(H9="O",0.985,0.9)</f>
        <v>0.9</v>
      </c>
      <c r="I11" s="13"/>
      <c r="L11" s="55" t="s">
        <v>17</v>
      </c>
      <c r="Q11" s="61">
        <f>IF(Q9="O",0.985,0.9)</f>
        <v>0.9</v>
      </c>
      <c r="R11" s="13"/>
      <c r="T11" s="55" t="s">
        <v>17</v>
      </c>
      <c r="Y11" s="61">
        <f>IF(Y9="O",0.985,0.9)</f>
        <v>0.9</v>
      </c>
      <c r="Z11" s="13"/>
    </row>
    <row r="12" spans="1:26" ht="15.75">
      <c r="A12" s="23"/>
      <c r="B12" s="35" t="s">
        <v>18</v>
      </c>
      <c r="H12" s="61"/>
      <c r="I12" s="13"/>
      <c r="L12" s="47" t="s">
        <v>18</v>
      </c>
      <c r="M12" s="24"/>
      <c r="N12" s="24"/>
      <c r="O12" s="24"/>
      <c r="P12" s="24"/>
      <c r="Q12" s="60"/>
      <c r="R12" s="28"/>
      <c r="S12" s="24"/>
      <c r="T12" s="47" t="s">
        <v>18</v>
      </c>
      <c r="Y12" s="61"/>
      <c r="Z12" s="13"/>
    </row>
    <row r="13" spans="1:26" ht="15.75">
      <c r="A13" s="23"/>
      <c r="B13" s="24"/>
      <c r="C13" s="1" t="s">
        <v>19</v>
      </c>
      <c r="H13" s="61">
        <v>1</v>
      </c>
      <c r="I13" s="13"/>
      <c r="L13" s="55" t="s">
        <v>19</v>
      </c>
      <c r="Q13" s="61">
        <v>0.99</v>
      </c>
      <c r="R13" s="13"/>
      <c r="T13" s="55" t="s">
        <v>19</v>
      </c>
      <c r="Y13" s="61">
        <v>0.96</v>
      </c>
      <c r="Z13" s="13"/>
    </row>
    <row r="14" spans="1:26" ht="15.75">
      <c r="A14" s="23"/>
      <c r="B14" s="24"/>
      <c r="C14" s="1" t="s">
        <v>20</v>
      </c>
      <c r="H14" s="61">
        <v>45</v>
      </c>
      <c r="I14" s="63" t="s">
        <v>21</v>
      </c>
      <c r="L14" s="55" t="s">
        <v>20</v>
      </c>
      <c r="Q14" s="61">
        <v>44.5</v>
      </c>
      <c r="R14" s="63" t="s">
        <v>21</v>
      </c>
      <c r="T14" s="55" t="s">
        <v>20</v>
      </c>
      <c r="Y14" s="61">
        <v>30.1</v>
      </c>
      <c r="Z14" s="63" t="s">
        <v>21</v>
      </c>
    </row>
    <row r="15" spans="1:26" ht="15.75">
      <c r="A15" s="23"/>
      <c r="B15" s="24"/>
      <c r="C15" s="1" t="s">
        <v>22</v>
      </c>
      <c r="H15" s="61"/>
      <c r="I15" s="63" t="s">
        <v>21</v>
      </c>
      <c r="L15" s="55" t="s">
        <v>22</v>
      </c>
      <c r="Q15" s="61"/>
      <c r="R15" s="63" t="s">
        <v>21</v>
      </c>
      <c r="T15" s="55" t="s">
        <v>22</v>
      </c>
      <c r="Y15" s="61"/>
      <c r="Z15" s="63" t="s">
        <v>21</v>
      </c>
    </row>
    <row r="16" spans="1:26" ht="15.75">
      <c r="A16" s="23"/>
      <c r="B16" s="24"/>
      <c r="C16" s="1" t="s">
        <v>23</v>
      </c>
      <c r="H16" s="61">
        <v>33.1</v>
      </c>
      <c r="I16" s="13"/>
      <c r="L16" s="55" t="s">
        <v>23</v>
      </c>
      <c r="Q16" s="61">
        <v>36.72</v>
      </c>
      <c r="R16" s="13"/>
      <c r="T16" s="55" t="s">
        <v>23</v>
      </c>
      <c r="Y16" s="61">
        <v>91.38</v>
      </c>
      <c r="Z16" s="13"/>
    </row>
    <row r="17" spans="1:26" ht="15.75">
      <c r="A17" s="23"/>
      <c r="B17" s="24"/>
      <c r="C17" s="1" t="s">
        <v>24</v>
      </c>
      <c r="H17" s="61">
        <v>1.85</v>
      </c>
      <c r="I17" s="13"/>
      <c r="L17" s="55" t="s">
        <v>24</v>
      </c>
      <c r="Q17" s="61">
        <v>2</v>
      </c>
      <c r="R17" s="13"/>
      <c r="T17" s="55" t="s">
        <v>24</v>
      </c>
      <c r="Y17" s="61"/>
      <c r="Z17" s="13"/>
    </row>
    <row r="18" spans="1:26" ht="15.75">
      <c r="A18" s="23"/>
      <c r="B18" s="24"/>
      <c r="C18" s="1" t="s">
        <v>25</v>
      </c>
      <c r="H18" s="61">
        <f>H16+H17</f>
        <v>34.95</v>
      </c>
      <c r="I18" s="63" t="s">
        <v>26</v>
      </c>
      <c r="L18" s="55" t="s">
        <v>25</v>
      </c>
      <c r="Q18" s="61">
        <f>Q16+Q17</f>
        <v>38.72</v>
      </c>
      <c r="R18" s="63" t="s">
        <v>26</v>
      </c>
      <c r="T18" s="55" t="s">
        <v>25</v>
      </c>
      <c r="Y18" s="61">
        <f>Y16+Y17</f>
        <v>91.38</v>
      </c>
      <c r="Z18" s="63" t="s">
        <v>26</v>
      </c>
    </row>
    <row r="19" spans="1:26" ht="15.75">
      <c r="A19" s="23"/>
      <c r="B19" s="24"/>
      <c r="H19" s="61"/>
      <c r="I19" s="13"/>
      <c r="L19" s="12"/>
      <c r="Q19" s="61"/>
      <c r="R19" s="13"/>
      <c r="T19" s="12"/>
      <c r="Y19" s="61"/>
      <c r="Z19" s="13"/>
    </row>
    <row r="20" spans="1:26" ht="15.75">
      <c r="A20" s="23"/>
      <c r="B20" s="35" t="s">
        <v>27</v>
      </c>
      <c r="H20" s="61"/>
      <c r="I20" s="13"/>
      <c r="L20" s="47" t="s">
        <v>27</v>
      </c>
      <c r="M20" s="24"/>
      <c r="N20" s="24"/>
      <c r="O20" s="24"/>
      <c r="P20" s="24"/>
      <c r="Q20" s="60"/>
      <c r="R20" s="13"/>
      <c r="S20" s="24"/>
      <c r="T20" s="47" t="s">
        <v>27</v>
      </c>
      <c r="Y20" s="61"/>
      <c r="Z20" s="13"/>
    </row>
    <row r="21" spans="1:26" ht="15.75">
      <c r="A21" s="23"/>
      <c r="B21" s="24"/>
      <c r="C21" s="1" t="s">
        <v>19</v>
      </c>
      <c r="H21" s="61"/>
      <c r="I21" s="13"/>
      <c r="L21" s="55" t="s">
        <v>19</v>
      </c>
      <c r="Q21" s="61"/>
      <c r="R21" s="13"/>
      <c r="T21" s="55" t="s">
        <v>19</v>
      </c>
      <c r="Y21" s="61"/>
      <c r="Z21" s="13"/>
    </row>
    <row r="22" spans="1:26" ht="15.75">
      <c r="A22" s="23"/>
      <c r="B22" s="24"/>
      <c r="C22" s="1" t="s">
        <v>20</v>
      </c>
      <c r="H22" s="61"/>
      <c r="I22" s="63" t="s">
        <v>21</v>
      </c>
      <c r="L22" s="55" t="s">
        <v>20</v>
      </c>
      <c r="Q22" s="61"/>
      <c r="R22" s="63" t="s">
        <v>21</v>
      </c>
      <c r="T22" s="55" t="s">
        <v>20</v>
      </c>
      <c r="Y22" s="61"/>
      <c r="Z22" s="63" t="s">
        <v>21</v>
      </c>
    </row>
    <row r="23" spans="1:26" ht="15.75">
      <c r="A23" s="23"/>
      <c r="B23" s="24"/>
      <c r="C23" s="1" t="s">
        <v>22</v>
      </c>
      <c r="H23" s="61"/>
      <c r="I23" s="63" t="s">
        <v>21</v>
      </c>
      <c r="L23" s="55" t="s">
        <v>22</v>
      </c>
      <c r="Q23" s="61"/>
      <c r="R23" s="63" t="s">
        <v>21</v>
      </c>
      <c r="T23" s="55" t="s">
        <v>22</v>
      </c>
      <c r="Y23" s="61"/>
      <c r="Z23" s="63" t="s">
        <v>21</v>
      </c>
    </row>
    <row r="24" spans="1:26" ht="15.75">
      <c r="A24" s="23"/>
      <c r="B24" s="24"/>
      <c r="C24" s="1" t="s">
        <v>23</v>
      </c>
      <c r="H24" s="61"/>
      <c r="I24" s="63" t="s">
        <v>26</v>
      </c>
      <c r="L24" s="55" t="s">
        <v>23</v>
      </c>
      <c r="Q24" s="61"/>
      <c r="R24" s="63" t="s">
        <v>26</v>
      </c>
      <c r="T24" s="55" t="s">
        <v>23</v>
      </c>
      <c r="Y24" s="61"/>
      <c r="Z24" s="63" t="s">
        <v>26</v>
      </c>
    </row>
    <row r="25" spans="1:26" ht="15.75">
      <c r="A25" s="23"/>
      <c r="B25" s="24"/>
      <c r="C25" s="1" t="s">
        <v>28</v>
      </c>
      <c r="H25" s="61">
        <f>IF(H24=0,"",H24+H17)</f>
      </c>
      <c r="I25" s="63" t="s">
        <v>26</v>
      </c>
      <c r="L25" s="55" t="s">
        <v>28</v>
      </c>
      <c r="Q25" s="61">
        <f>IF(Q24=0,"",Q24+Q17)</f>
      </c>
      <c r="R25" s="63" t="s">
        <v>26</v>
      </c>
      <c r="T25" s="55" t="s">
        <v>28</v>
      </c>
      <c r="Y25" s="61">
        <f>IF(Y24=0,"",Y24+Y17)</f>
      </c>
      <c r="Z25" s="63" t="s">
        <v>26</v>
      </c>
    </row>
    <row r="26" spans="1:26" ht="15.75">
      <c r="A26" s="23"/>
      <c r="B26" s="24"/>
      <c r="H26" s="61"/>
      <c r="I26" s="13"/>
      <c r="L26" s="12"/>
      <c r="Q26" s="61"/>
      <c r="R26" s="13"/>
      <c r="T26" s="12"/>
      <c r="Y26" s="61"/>
      <c r="Z26" s="13"/>
    </row>
    <row r="27" spans="1:26" ht="15.75">
      <c r="A27" s="23"/>
      <c r="B27" s="24"/>
      <c r="C27" s="1" t="s">
        <v>29</v>
      </c>
      <c r="H27" s="61"/>
      <c r="I27" s="13"/>
      <c r="L27" s="55" t="s">
        <v>133</v>
      </c>
      <c r="Q27" s="61"/>
      <c r="R27" s="13"/>
      <c r="T27" s="55" t="s">
        <v>133</v>
      </c>
      <c r="Y27" s="61"/>
      <c r="Z27" s="13"/>
    </row>
    <row r="28" spans="1:26" ht="15.75">
      <c r="A28" s="25"/>
      <c r="B28" s="26"/>
      <c r="C28" s="57" t="s">
        <v>30</v>
      </c>
      <c r="D28" s="18"/>
      <c r="E28" s="18"/>
      <c r="F28" s="18"/>
      <c r="G28" s="18"/>
      <c r="H28" s="64"/>
      <c r="I28" s="19"/>
      <c r="L28" s="58" t="s">
        <v>30</v>
      </c>
      <c r="M28" s="18"/>
      <c r="N28" s="18"/>
      <c r="O28" s="18"/>
      <c r="P28" s="18"/>
      <c r="Q28" s="64"/>
      <c r="R28" s="19"/>
      <c r="T28" s="58" t="s">
        <v>30</v>
      </c>
      <c r="U28" s="18"/>
      <c r="V28" s="18"/>
      <c r="W28" s="18"/>
      <c r="X28" s="18"/>
      <c r="Y28" s="64"/>
      <c r="Z28" s="19"/>
    </row>
    <row r="29" spans="1:26" ht="15.75">
      <c r="A29" s="59" t="s">
        <v>31</v>
      </c>
      <c r="B29" s="22"/>
      <c r="C29" s="15"/>
      <c r="D29" s="15"/>
      <c r="E29" s="15"/>
      <c r="F29" s="15"/>
      <c r="G29" s="15"/>
      <c r="H29" s="65"/>
      <c r="I29" s="16"/>
      <c r="L29" s="47" t="s">
        <v>31</v>
      </c>
      <c r="M29" s="24"/>
      <c r="N29" s="24"/>
      <c r="O29" s="24"/>
      <c r="P29" s="24"/>
      <c r="Q29" s="60"/>
      <c r="R29" s="13"/>
      <c r="S29" s="24"/>
      <c r="T29" s="47" t="s">
        <v>31</v>
      </c>
      <c r="U29" s="24"/>
      <c r="Y29" s="61"/>
      <c r="Z29" s="13"/>
    </row>
    <row r="30" spans="1:26" ht="15.75">
      <c r="A30" s="23"/>
      <c r="B30" s="35" t="s">
        <v>32</v>
      </c>
      <c r="H30" s="66" t="s">
        <v>149</v>
      </c>
      <c r="I30" s="13"/>
      <c r="L30" s="47" t="s">
        <v>32</v>
      </c>
      <c r="N30" s="24"/>
      <c r="O30" s="24"/>
      <c r="P30" s="24"/>
      <c r="Q30" s="66" t="s">
        <v>149</v>
      </c>
      <c r="R30" s="13"/>
      <c r="S30" s="24"/>
      <c r="T30" s="47" t="s">
        <v>32</v>
      </c>
      <c r="Y30" s="66" t="s">
        <v>136</v>
      </c>
      <c r="Z30" s="13"/>
    </row>
    <row r="31" spans="1:26" ht="15.75">
      <c r="A31" s="23"/>
      <c r="B31" s="24"/>
      <c r="C31" s="1" t="s">
        <v>33</v>
      </c>
      <c r="H31" s="61"/>
      <c r="I31" s="63" t="s">
        <v>21</v>
      </c>
      <c r="L31" s="23"/>
      <c r="M31" s="1" t="s">
        <v>33</v>
      </c>
      <c r="Q31" s="61"/>
      <c r="R31" s="63" t="s">
        <v>21</v>
      </c>
      <c r="T31" s="23"/>
      <c r="U31" s="1" t="s">
        <v>33</v>
      </c>
      <c r="Y31" s="61"/>
      <c r="Z31" s="63" t="s">
        <v>21</v>
      </c>
    </row>
    <row r="32" spans="1:26" ht="15.75">
      <c r="A32" s="23"/>
      <c r="B32" s="24"/>
      <c r="C32" s="1" t="s">
        <v>34</v>
      </c>
      <c r="H32" s="61">
        <v>0.005</v>
      </c>
      <c r="I32" s="63" t="s">
        <v>21</v>
      </c>
      <c r="L32" s="23"/>
      <c r="M32" s="1" t="s">
        <v>34</v>
      </c>
      <c r="Q32" s="61">
        <v>11</v>
      </c>
      <c r="R32" s="63" t="s">
        <v>21</v>
      </c>
      <c r="T32" s="23"/>
      <c r="U32" s="1" t="s">
        <v>34</v>
      </c>
      <c r="Y32" s="61">
        <v>36</v>
      </c>
      <c r="Z32" s="63" t="s">
        <v>21</v>
      </c>
    </row>
    <row r="33" spans="1:26" ht="15.75">
      <c r="A33" s="23"/>
      <c r="B33" s="24"/>
      <c r="C33" s="1" t="s">
        <v>35</v>
      </c>
      <c r="H33" s="61">
        <v>0.9</v>
      </c>
      <c r="I33" s="13"/>
      <c r="L33" s="23"/>
      <c r="M33" s="1" t="s">
        <v>35</v>
      </c>
      <c r="Q33" s="61">
        <v>0.864</v>
      </c>
      <c r="R33" s="13"/>
      <c r="T33" s="23"/>
      <c r="U33" s="1" t="s">
        <v>35</v>
      </c>
      <c r="Y33" s="61">
        <v>0.869</v>
      </c>
      <c r="Z33" s="13"/>
    </row>
    <row r="34" spans="1:26" ht="15.75">
      <c r="A34" s="23"/>
      <c r="B34" s="24"/>
      <c r="C34" s="1" t="s">
        <v>36</v>
      </c>
      <c r="H34" s="61">
        <v>2.54</v>
      </c>
      <c r="I34" s="63" t="s">
        <v>37</v>
      </c>
      <c r="L34" s="23"/>
      <c r="M34" s="1" t="s">
        <v>36</v>
      </c>
      <c r="Q34" s="61">
        <v>2.54</v>
      </c>
      <c r="R34" s="63" t="s">
        <v>37</v>
      </c>
      <c r="T34" s="23"/>
      <c r="U34" s="1" t="s">
        <v>36</v>
      </c>
      <c r="Y34" s="61">
        <v>4.553</v>
      </c>
      <c r="Z34" s="63" t="s">
        <v>37</v>
      </c>
    </row>
    <row r="35" spans="1:26" ht="15.75">
      <c r="A35" s="23"/>
      <c r="B35" s="24"/>
      <c r="C35" s="1" t="s">
        <v>38</v>
      </c>
      <c r="H35" s="61"/>
      <c r="I35" s="63" t="s">
        <v>26</v>
      </c>
      <c r="L35" s="23"/>
      <c r="M35" s="1" t="s">
        <v>38</v>
      </c>
      <c r="Q35" s="61"/>
      <c r="R35" s="63" t="s">
        <v>26</v>
      </c>
      <c r="T35" s="23"/>
      <c r="U35" s="1" t="s">
        <v>38</v>
      </c>
      <c r="Y35" s="61"/>
      <c r="Z35" s="63" t="s">
        <v>26</v>
      </c>
    </row>
    <row r="36" spans="1:26" ht="15.75">
      <c r="A36" s="23"/>
      <c r="B36" s="35" t="s">
        <v>39</v>
      </c>
      <c r="H36" s="61"/>
      <c r="I36" s="13"/>
      <c r="L36" s="47" t="s">
        <v>39</v>
      </c>
      <c r="N36" s="24"/>
      <c r="O36" s="24"/>
      <c r="Q36" s="61"/>
      <c r="R36" s="13"/>
      <c r="T36" s="47" t="s">
        <v>39</v>
      </c>
      <c r="Y36" s="61"/>
      <c r="Z36" s="13"/>
    </row>
    <row r="37" spans="1:26" ht="15.75">
      <c r="A37" s="23"/>
      <c r="B37" s="24"/>
      <c r="C37" s="1" t="s">
        <v>33</v>
      </c>
      <c r="H37" s="61"/>
      <c r="I37" s="63" t="s">
        <v>21</v>
      </c>
      <c r="L37" s="23"/>
      <c r="M37" s="1" t="s">
        <v>33</v>
      </c>
      <c r="Q37" s="61"/>
      <c r="R37" s="63" t="s">
        <v>21</v>
      </c>
      <c r="T37" s="23"/>
      <c r="U37" s="1" t="s">
        <v>33</v>
      </c>
      <c r="Y37" s="61"/>
      <c r="Z37" s="63" t="s">
        <v>21</v>
      </c>
    </row>
    <row r="38" spans="1:26" ht="15.75">
      <c r="A38" s="23"/>
      <c r="B38" s="24"/>
      <c r="C38" s="1" t="s">
        <v>34</v>
      </c>
      <c r="H38" s="61"/>
      <c r="I38" s="63" t="s">
        <v>21</v>
      </c>
      <c r="L38" s="23"/>
      <c r="M38" s="1" t="s">
        <v>34</v>
      </c>
      <c r="Q38" s="61"/>
      <c r="R38" s="63" t="s">
        <v>21</v>
      </c>
      <c r="T38" s="23"/>
      <c r="U38" s="1" t="s">
        <v>34</v>
      </c>
      <c r="Y38" s="61"/>
      <c r="Z38" s="63" t="s">
        <v>21</v>
      </c>
    </row>
    <row r="39" spans="1:26" ht="15.75">
      <c r="A39" s="23"/>
      <c r="B39" s="24"/>
      <c r="C39" s="1" t="s">
        <v>35</v>
      </c>
      <c r="H39" s="61"/>
      <c r="I39" s="13"/>
      <c r="L39" s="23"/>
      <c r="M39" s="1" t="s">
        <v>35</v>
      </c>
      <c r="Q39" s="61"/>
      <c r="R39" s="13"/>
      <c r="T39" s="23"/>
      <c r="U39" s="1" t="s">
        <v>35</v>
      </c>
      <c r="Y39" s="61"/>
      <c r="Z39" s="13"/>
    </row>
    <row r="40" spans="1:26" ht="15.75">
      <c r="A40" s="23"/>
      <c r="B40" s="24"/>
      <c r="C40" s="1" t="s">
        <v>36</v>
      </c>
      <c r="H40" s="61"/>
      <c r="I40" s="63" t="s">
        <v>37</v>
      </c>
      <c r="L40" s="23"/>
      <c r="M40" s="1" t="s">
        <v>36</v>
      </c>
      <c r="Q40" s="61"/>
      <c r="R40" s="63" t="s">
        <v>37</v>
      </c>
      <c r="T40" s="23"/>
      <c r="U40" s="1" t="s">
        <v>36</v>
      </c>
      <c r="Y40" s="61"/>
      <c r="Z40" s="63" t="s">
        <v>37</v>
      </c>
    </row>
    <row r="41" spans="1:26" ht="15.75">
      <c r="A41" s="23"/>
      <c r="B41" s="24"/>
      <c r="C41" s="1" t="s">
        <v>38</v>
      </c>
      <c r="H41" s="61"/>
      <c r="I41" s="63" t="s">
        <v>26</v>
      </c>
      <c r="L41" s="23"/>
      <c r="M41" s="1" t="s">
        <v>38</v>
      </c>
      <c r="Q41" s="61"/>
      <c r="R41" s="1" t="s">
        <v>26</v>
      </c>
      <c r="S41" s="12"/>
      <c r="T41" s="25"/>
      <c r="U41" s="57" t="s">
        <v>38</v>
      </c>
      <c r="V41" s="18"/>
      <c r="W41" s="18"/>
      <c r="X41" s="18"/>
      <c r="Y41" s="64"/>
      <c r="Z41" s="67" t="s">
        <v>26</v>
      </c>
    </row>
    <row r="42" spans="1:26" ht="15.75">
      <c r="A42" s="59" t="s">
        <v>40</v>
      </c>
      <c r="B42" s="22"/>
      <c r="C42" s="15"/>
      <c r="D42" s="15"/>
      <c r="E42" s="15"/>
      <c r="F42" s="15"/>
      <c r="G42" s="15"/>
      <c r="H42" s="65"/>
      <c r="I42" s="16"/>
      <c r="L42" s="59" t="s">
        <v>40</v>
      </c>
      <c r="M42" s="22"/>
      <c r="N42" s="15"/>
      <c r="O42" s="15"/>
      <c r="P42" s="15"/>
      <c r="Q42" s="14"/>
      <c r="R42" s="15"/>
      <c r="S42" s="12"/>
      <c r="T42" s="47" t="s">
        <v>40</v>
      </c>
      <c r="U42" s="24"/>
      <c r="Y42" s="12"/>
      <c r="Z42" s="13"/>
    </row>
    <row r="43" spans="1:26" ht="15.75">
      <c r="A43" s="23"/>
      <c r="B43" s="24"/>
      <c r="C43" s="1" t="s">
        <v>41</v>
      </c>
      <c r="H43" s="62" t="str">
        <f>IF(H$8="M"," ",IF(H27=0,H28,+H27*H13/H21))</f>
        <v> </v>
      </c>
      <c r="I43" s="13"/>
      <c r="L43" s="55" t="s">
        <v>41</v>
      </c>
      <c r="Q43" s="62" t="str">
        <f>IF(Q$8="M"," ",IF(Q27=0,Q28,+Q27*Q13/Q21))</f>
        <v> </v>
      </c>
      <c r="R43" s="13"/>
      <c r="T43" s="55" t="s">
        <v>41</v>
      </c>
      <c r="Y43" s="62" t="str">
        <f>IF(Y$8="M"," ",IF(Y27=0,Y28,+Y27*Y13/Y21))</f>
        <v> </v>
      </c>
      <c r="Z43" s="13"/>
    </row>
    <row r="44" spans="1:26" ht="15.75">
      <c r="A44" s="23"/>
      <c r="B44" s="24"/>
      <c r="C44" s="1" t="s">
        <v>42</v>
      </c>
      <c r="H44" s="62" t="str">
        <f>IF(H8="M"," ",IF(H28=0,H27,H28*H21/H13))</f>
        <v> </v>
      </c>
      <c r="I44" s="13"/>
      <c r="L44" s="55" t="s">
        <v>42</v>
      </c>
      <c r="Q44" s="62" t="str">
        <f>IF(Q8="M"," ",IF(Q28=0,Q27,Q28*Q21/Q13))</f>
        <v> </v>
      </c>
      <c r="R44" s="13"/>
      <c r="T44" s="55" t="s">
        <v>42</v>
      </c>
      <c r="Y44" s="62" t="str">
        <f>IF(Y8="M"," ",IF(Y28=0,Y27,Y28*Y21/Y13))</f>
        <v> </v>
      </c>
      <c r="Z44" s="13"/>
    </row>
    <row r="45" spans="1:26" ht="15.75">
      <c r="A45" s="23"/>
      <c r="B45" s="24"/>
      <c r="C45" s="1" t="s">
        <v>43</v>
      </c>
      <c r="H45" s="62" t="str">
        <f>IF(H8="M"," ",(H21+(H13*H44))*H13/(H43*H21+H13))</f>
        <v> </v>
      </c>
      <c r="I45" s="13"/>
      <c r="L45" s="55" t="s">
        <v>43</v>
      </c>
      <c r="Q45" s="62" t="str">
        <f>IF(Q8="M"," ",(Q21+(Q13*Q44))*Q13/(Q43*Q21+Q13))</f>
        <v> </v>
      </c>
      <c r="R45" s="13"/>
      <c r="T45" s="55" t="s">
        <v>43</v>
      </c>
      <c r="Y45" s="62" t="str">
        <f>IF(Y8="M"," ",(Y21+(Y13*Y44))*Y13/(Y43*Y21+Y13))</f>
        <v> </v>
      </c>
      <c r="Z45" s="13"/>
    </row>
    <row r="46" spans="1:26" ht="15.75">
      <c r="A46" s="23"/>
      <c r="B46" s="24"/>
      <c r="C46" s="1" t="s">
        <v>44</v>
      </c>
      <c r="H46" s="62" t="str">
        <f>IF(H$8="M"," ",(H22+(H14*H43))/(1+H43))</f>
        <v> </v>
      </c>
      <c r="I46" s="63" t="s">
        <v>21</v>
      </c>
      <c r="L46" s="55" t="s">
        <v>44</v>
      </c>
      <c r="Q46" s="62" t="str">
        <f>IF(Q$8="M"," ",(Q22+(Q14*Q43))/(1+Q43))</f>
        <v> </v>
      </c>
      <c r="R46" s="63" t="s">
        <v>21</v>
      </c>
      <c r="T46" s="55" t="s">
        <v>44</v>
      </c>
      <c r="Y46" s="62" t="str">
        <f>IF(Y$8="M"," ",(Y22+(Y14*Y43))/(1+Y43))</f>
        <v> </v>
      </c>
      <c r="Z46" s="63" t="s">
        <v>21</v>
      </c>
    </row>
    <row r="47" spans="1:26" ht="15.75">
      <c r="A47" s="23"/>
      <c r="B47" s="24"/>
      <c r="C47" s="1" t="s">
        <v>45</v>
      </c>
      <c r="H47" s="62">
        <f>IF(H$8="M",100-H13*(100-H14)/H11,100-H45*(100-H46)/H11)</f>
        <v>38.88888888888889</v>
      </c>
      <c r="I47" s="63" t="s">
        <v>21</v>
      </c>
      <c r="L47" s="55" t="s">
        <v>45</v>
      </c>
      <c r="Q47" s="62">
        <f>IF(Q$8="M",100-Q13*(100-Q14)/Q11,100-Q45*(100-Q46)/Q11)</f>
        <v>38.95</v>
      </c>
      <c r="R47" s="63" t="s">
        <v>21</v>
      </c>
      <c r="T47" s="55" t="s">
        <v>45</v>
      </c>
      <c r="Y47" s="62">
        <f>IF(Y$8="M",100-Y13*(100-Y14)/Y11,100-Y45*(100-Y46)/Y11)</f>
        <v>25.439999999999998</v>
      </c>
      <c r="Z47" s="63" t="s">
        <v>21</v>
      </c>
    </row>
    <row r="48" spans="1:26" ht="15.75">
      <c r="A48" s="23"/>
      <c r="B48" s="24"/>
      <c r="C48" s="1" t="s">
        <v>46</v>
      </c>
      <c r="H48" s="62">
        <f>IF(H$8="M",H13*H14/H47,H46*H45/H47)</f>
        <v>1.157142857142857</v>
      </c>
      <c r="I48" s="13"/>
      <c r="L48" s="55" t="s">
        <v>46</v>
      </c>
      <c r="Q48" s="62">
        <f>IF(Q$8="M",Q13*Q14/Q47,Q46*Q45/Q47)</f>
        <v>1.1310654685494221</v>
      </c>
      <c r="R48" s="13"/>
      <c r="T48" s="55" t="s">
        <v>46</v>
      </c>
      <c r="Y48" s="62">
        <f>IF(Y$8="M",Y13*Y14/Y47,Y46*Y45/Y47)</f>
        <v>1.1358490566037738</v>
      </c>
      <c r="Z48" s="13"/>
    </row>
    <row r="49" spans="1:26" ht="15.75">
      <c r="A49" s="23"/>
      <c r="B49" s="24"/>
      <c r="H49" s="12"/>
      <c r="I49" s="13"/>
      <c r="L49" s="12"/>
      <c r="Q49" s="12"/>
      <c r="R49" s="13"/>
      <c r="T49" s="12"/>
      <c r="Y49" s="12"/>
      <c r="Z49" s="13"/>
    </row>
    <row r="50" spans="1:26" ht="15.75">
      <c r="A50" s="23"/>
      <c r="B50" s="24"/>
      <c r="C50" s="1" t="s">
        <v>47</v>
      </c>
      <c r="H50" s="62" t="str">
        <f>IF(H$8="M"," ",(H70+H71/H44)/(1+1/H44))</f>
        <v> </v>
      </c>
      <c r="I50" s="63" t="s">
        <v>37</v>
      </c>
      <c r="L50" s="55" t="s">
        <v>47</v>
      </c>
      <c r="Q50" s="62" t="str">
        <f>IF(Q$8="M"," ",(Q70+Q71/Q44)/(1+1/Q44))</f>
        <v> </v>
      </c>
      <c r="R50" s="63" t="s">
        <v>37</v>
      </c>
      <c r="T50" s="55" t="s">
        <v>47</v>
      </c>
      <c r="Y50" s="62" t="str">
        <f>IF(Y$8="M"," ",(Y70+Y71/Y44)/(1+1/Y44))</f>
        <v> </v>
      </c>
      <c r="Z50" s="63" t="s">
        <v>37</v>
      </c>
    </row>
    <row r="51" spans="1:26" ht="15.75">
      <c r="A51" s="23"/>
      <c r="B51" s="24"/>
      <c r="C51" s="1" t="s">
        <v>48</v>
      </c>
      <c r="H51" s="62" t="str">
        <f>IF(H$8="M"," ",H50/H45)</f>
        <v> </v>
      </c>
      <c r="I51" s="63" t="s">
        <v>26</v>
      </c>
      <c r="L51" s="55" t="s">
        <v>48</v>
      </c>
      <c r="Q51" s="62" t="str">
        <f>IF(Q$8="M"," ",Q50/Q45)</f>
        <v> </v>
      </c>
      <c r="R51" s="63" t="s">
        <v>26</v>
      </c>
      <c r="T51" s="55" t="s">
        <v>48</v>
      </c>
      <c r="Y51" s="62" t="str">
        <f>IF(Y$8="M"," ",Y50/Y45)</f>
        <v> </v>
      </c>
      <c r="Z51" s="63" t="s">
        <v>26</v>
      </c>
    </row>
    <row r="52" spans="1:26" ht="15.75">
      <c r="A52" s="23"/>
      <c r="B52" s="24"/>
      <c r="C52" s="1" t="s">
        <v>49</v>
      </c>
      <c r="H52" s="72">
        <f>IF(H$8="M",100*H70/(H13*H14),100*((H44*H70)+H71)/((H44*H13*H14)+(H21*H22)))</f>
        <v>77.66666666666667</v>
      </c>
      <c r="I52" s="63" t="s">
        <v>26</v>
      </c>
      <c r="L52" s="55" t="s">
        <v>49</v>
      </c>
      <c r="Q52" s="72">
        <f>IF(Q$8="M",100*Q70/(Q13*Q14),100*((Q44*Q70)+Q71)/((Q44*Q13*Q14)+(Q21*Q22)))</f>
        <v>87.01123595505618</v>
      </c>
      <c r="R52" s="63" t="s">
        <v>26</v>
      </c>
      <c r="T52" s="55" t="s">
        <v>49</v>
      </c>
      <c r="Y52" s="72">
        <f>IF(Y$8="M",100*Y70/(Y13*Y14),100*((Y44*Y70)+Y71)/((Y44*Y13*Y14)+(Y21*Y22)))</f>
        <v>303.5880398671096</v>
      </c>
      <c r="Z52" s="63" t="s">
        <v>26</v>
      </c>
    </row>
    <row r="53" spans="1:26" ht="15.75">
      <c r="A53" s="25"/>
      <c r="B53" s="26"/>
      <c r="C53" s="57" t="s">
        <v>50</v>
      </c>
      <c r="D53" s="18"/>
      <c r="E53" s="18"/>
      <c r="F53" s="18"/>
      <c r="G53" s="18"/>
      <c r="H53" s="11">
        <f>H52*H48</f>
        <v>89.87142857142857</v>
      </c>
      <c r="I53" s="67" t="s">
        <v>37</v>
      </c>
      <c r="L53" s="58" t="s">
        <v>50</v>
      </c>
      <c r="M53" s="18"/>
      <c r="N53" s="18"/>
      <c r="O53" s="18"/>
      <c r="P53" s="18"/>
      <c r="Q53" s="11">
        <f>Q52*Q48</f>
        <v>98.41540436456994</v>
      </c>
      <c r="R53" s="67" t="s">
        <v>37</v>
      </c>
      <c r="T53" s="58" t="s">
        <v>50</v>
      </c>
      <c r="U53" s="18"/>
      <c r="V53" s="18"/>
      <c r="W53" s="18"/>
      <c r="X53" s="18"/>
      <c r="Y53" s="11">
        <f>Y52*Y48</f>
        <v>344.83018867924534</v>
      </c>
      <c r="Z53" s="67" t="s">
        <v>37</v>
      </c>
    </row>
    <row r="54" spans="1:26" ht="15.75">
      <c r="A54" s="59" t="s">
        <v>51</v>
      </c>
      <c r="B54" s="22"/>
      <c r="C54" s="15"/>
      <c r="D54" s="15"/>
      <c r="E54" s="15"/>
      <c r="F54" s="15"/>
      <c r="G54" s="15"/>
      <c r="H54" s="14"/>
      <c r="I54" s="16"/>
      <c r="L54" s="59" t="s">
        <v>51</v>
      </c>
      <c r="M54" s="22"/>
      <c r="N54" s="22"/>
      <c r="O54" s="22"/>
      <c r="P54" s="22"/>
      <c r="Q54" s="14"/>
      <c r="R54" s="16"/>
      <c r="S54" s="24"/>
      <c r="T54" s="59" t="s">
        <v>51</v>
      </c>
      <c r="U54" s="15"/>
      <c r="V54" s="15"/>
      <c r="W54" s="15"/>
      <c r="X54" s="15"/>
      <c r="Y54" s="14"/>
      <c r="Z54" s="16"/>
    </row>
    <row r="55" spans="1:26" ht="15.75">
      <c r="A55" s="23"/>
      <c r="B55" s="24"/>
      <c r="C55" s="1" t="s">
        <v>52</v>
      </c>
      <c r="H55" s="62">
        <f>IF(H$64=0," ",IF(H$8="M",(H13+(H64*H33+H67*H39)/100)/(1+(H64+H67)/100),(H13+((H64*H33+H67*H39)/100)+H21/H44)/(1+((H64+H67)/100)+1/H44)))</f>
        <v>0.9999944447530694</v>
      </c>
      <c r="I55" s="13"/>
      <c r="L55" s="55" t="s">
        <v>52</v>
      </c>
      <c r="Q55" s="62">
        <f>IF(Q$64=0," ",IF(Q$8="M",(Q13+(Q64*Q33+Q67*Q39)/100)/(1+(Q64+Q67)/100),(Q13+((Q64*Q33+Q67*Q39)/100)+Q21/Q44)/(1+((Q64+Q67)/100)+1/Q44)))</f>
        <v>0.9758963922294173</v>
      </c>
      <c r="R55" s="13"/>
      <c r="T55" s="55" t="s">
        <v>52</v>
      </c>
      <c r="Y55" s="62">
        <f>IF(Y$64=0," ",IF(Y$8="M",(Y13+(Y64*Y33+Y67*Y39)/100)/(1+(Y64+Y67)/100),(Y13+((Y64*Y33+Y67*Y39)/100)+Y21/Y44)/(1+((Y64+Y67)/100)+1/Y44)))</f>
        <v>0.9341070311213568</v>
      </c>
      <c r="Z55" s="13"/>
    </row>
    <row r="56" spans="1:26" ht="15.75">
      <c r="A56" s="23"/>
      <c r="B56" s="24"/>
      <c r="C56" s="1" t="s">
        <v>53</v>
      </c>
      <c r="H56" s="62">
        <f>IF(H$64=0," ",IF(H$8="M",H13*H14/(H13+(H64*H33+H67*H39)/100),(H14*H43+H22)/(1+H43+H43*(H64*H33+H67*H39)/(H13*100))))</f>
        <v>44.99775011249437</v>
      </c>
      <c r="I56" s="63" t="s">
        <v>21</v>
      </c>
      <c r="L56" s="55" t="s">
        <v>53</v>
      </c>
      <c r="Q56" s="62">
        <f>IF(Q$64=0," ",IF(Q$8="M",Q13*Q14/(Q13+(Q64*Q33+Q67*Q39)/100),(Q14*Q43+Q22)/(1+Q43+Q43*(Q64*Q33+Q67*Q39)/(Q13*100))))</f>
        <v>40.090090090090094</v>
      </c>
      <c r="R56" s="63" t="s">
        <v>21</v>
      </c>
      <c r="T56" s="55" t="s">
        <v>54</v>
      </c>
      <c r="Y56" s="62">
        <f>IF(Y$64=0," ",IF(Y$8="M",Y13*Y14/(Y13+(Y64*Y33+Y67*Y39)/100),(Y14*Y43+Y22)/(1+Y43+Y43*(Y64*Y33+Y67*Y39)/(Y13*100))))</f>
        <v>22.13235294117647</v>
      </c>
      <c r="Z56" s="63" t="s">
        <v>21</v>
      </c>
    </row>
    <row r="57" spans="1:26" ht="15.75">
      <c r="A57" s="23"/>
      <c r="B57" s="24"/>
      <c r="C57" s="1" t="s">
        <v>55</v>
      </c>
      <c r="H57" s="62">
        <f>IF(H$64=0," ",IF(H$8="M",H47/(1+(H64+H67)/100),H47*((H43*H21)+H13)/(H13+(H43*H21*(1+((H64+H67)/100))))))</f>
        <v>38.8867285150825</v>
      </c>
      <c r="I57" s="63" t="s">
        <v>21</v>
      </c>
      <c r="L57" s="55" t="s">
        <v>55</v>
      </c>
      <c r="Q57" s="62">
        <f>IF(Q$64=0," ",IF(Q$8="M",Q47/(1+(Q64+Q67)/100),Q47*((Q43*Q21)+Q13)/(Q13+(Q43*Q21*(1+((Q64+Q67)/100))))))</f>
        <v>34.590194264569845</v>
      </c>
      <c r="R57" s="63" t="s">
        <v>21</v>
      </c>
      <c r="T57" s="55" t="s">
        <v>56</v>
      </c>
      <c r="Y57" s="62">
        <f>IF(Y$64=0," ",IF(Y$8="M",Y47/(1+(Y64+Y67)/100),Y47*((Y43*Y21)+Y13)/(Y13+(Y43*Y21*(1+((Y64+Y67)/100))))))</f>
        <v>18.20135023876173</v>
      </c>
      <c r="Z57" s="63" t="s">
        <v>21</v>
      </c>
    </row>
    <row r="58" spans="1:26" ht="15.75">
      <c r="A58" s="23"/>
      <c r="B58" s="24"/>
      <c r="H58" s="12"/>
      <c r="I58" s="13"/>
      <c r="L58" s="12"/>
      <c r="Q58" s="12"/>
      <c r="R58" s="13"/>
      <c r="T58" s="12"/>
      <c r="Y58" s="12"/>
      <c r="Z58" s="13"/>
    </row>
    <row r="59" spans="1:26" ht="15.75">
      <c r="A59" s="23"/>
      <c r="B59" s="24"/>
      <c r="C59" s="1" t="s">
        <v>57</v>
      </c>
      <c r="H59" s="62">
        <f>IF(H$64=0," ",IF(H$8="M",(H18+((H64*H66+H67*H69)/100))/(1+(H64+H67)/100),(H18+(H64*H66+H67*H69)+H25/H44)/(1+(H64+H67)/100+1/H44)))</f>
        <v>34.94819954446976</v>
      </c>
      <c r="I59" s="63" t="s">
        <v>37</v>
      </c>
      <c r="L59" s="55" t="s">
        <v>57</v>
      </c>
      <c r="Q59" s="62">
        <f>IF(Q$64=0," ",IF(Q$8="M",(Q18+((Q64*Q66+Q67*Q69)/100))/(1+(Q64+Q67)/100),(Q18+(Q64*Q66+Q67*Q69)+Q25/Q44)/(1+(Q64+Q67)/100+1/Q44)))</f>
        <v>34.67024976873266</v>
      </c>
      <c r="R59" s="63" t="s">
        <v>37</v>
      </c>
      <c r="T59" s="55" t="s">
        <v>57</v>
      </c>
      <c r="Y59" s="62">
        <f>IF(Y$64=0," ",IF(Y$8="M",(Y18+((Y64*Y66+Y67*Y69)/100))/(1+(Y64+Y67)/100),(Y18+(Y64*Y66+Y67*Y69)+Y25/Y44)/(1+(Y64+Y67)/100+1/Y44)))</f>
        <v>66.67440869422032</v>
      </c>
      <c r="Z59" s="63" t="s">
        <v>37</v>
      </c>
    </row>
    <row r="60" spans="1:26" ht="15.75">
      <c r="A60" s="23"/>
      <c r="B60" s="24"/>
      <c r="C60" s="1" t="s">
        <v>58</v>
      </c>
      <c r="H60" s="62">
        <f>IF(H$64=0," ",H59/H55)</f>
        <v>34.94839369142654</v>
      </c>
      <c r="I60" s="63" t="s">
        <v>26</v>
      </c>
      <c r="L60" s="55" t="s">
        <v>58</v>
      </c>
      <c r="Q60" s="62">
        <f>IF(Q$64=0," ",Q59/Q55)</f>
        <v>35.52656823490157</v>
      </c>
      <c r="R60" s="63" t="s">
        <v>26</v>
      </c>
      <c r="T60" s="55" t="s">
        <v>58</v>
      </c>
      <c r="Y60" s="62">
        <f>IF(Y$64=0," ",Y59/Y55)</f>
        <v>71.37769706559263</v>
      </c>
      <c r="Z60" s="63" t="s">
        <v>26</v>
      </c>
    </row>
    <row r="61" spans="1:26" ht="15.75">
      <c r="A61" s="68"/>
      <c r="B61" s="69"/>
      <c r="C61" s="70"/>
      <c r="D61" s="18"/>
      <c r="E61" s="18"/>
      <c r="F61" s="18"/>
      <c r="G61" s="18"/>
      <c r="H61" s="17"/>
      <c r="I61" s="19"/>
      <c r="L61" s="17"/>
      <c r="M61" s="18"/>
      <c r="N61" s="18"/>
      <c r="O61" s="18"/>
      <c r="P61" s="18"/>
      <c r="Q61" s="17"/>
      <c r="R61" s="19"/>
      <c r="T61" s="17"/>
      <c r="U61" s="18"/>
      <c r="V61" s="18"/>
      <c r="W61" s="18"/>
      <c r="X61" s="18"/>
      <c r="Y61" s="17"/>
      <c r="Z61" s="19"/>
    </row>
    <row r="62" spans="1:9" ht="15.75">
      <c r="A62" s="26"/>
      <c r="B62" s="26"/>
      <c r="C62" s="18"/>
      <c r="D62" s="18"/>
      <c r="E62" s="18"/>
      <c r="F62" s="18"/>
      <c r="G62" s="18"/>
      <c r="H62" s="18"/>
      <c r="I62" s="18"/>
    </row>
    <row r="63" spans="1:26" ht="15.75">
      <c r="A63" s="59" t="s">
        <v>59</v>
      </c>
      <c r="B63" s="22"/>
      <c r="C63" s="15"/>
      <c r="D63" s="15"/>
      <c r="E63" s="15"/>
      <c r="F63" s="15"/>
      <c r="G63" s="15"/>
      <c r="H63" s="14"/>
      <c r="I63" s="16"/>
      <c r="L63" s="59" t="s">
        <v>59</v>
      </c>
      <c r="M63" s="22"/>
      <c r="N63" s="22"/>
      <c r="O63" s="22"/>
      <c r="P63" s="22"/>
      <c r="Q63" s="14"/>
      <c r="R63" s="16"/>
      <c r="S63" s="24"/>
      <c r="T63" s="59" t="s">
        <v>59</v>
      </c>
      <c r="U63" s="22"/>
      <c r="V63" s="15"/>
      <c r="W63" s="15"/>
      <c r="X63" s="15"/>
      <c r="Y63" s="14"/>
      <c r="Z63" s="16"/>
    </row>
    <row r="64" spans="1:26" ht="15.75">
      <c r="A64" s="23"/>
      <c r="B64" s="35" t="s">
        <v>32</v>
      </c>
      <c r="C64" s="1" t="s">
        <v>60</v>
      </c>
      <c r="H64" s="62">
        <f>IF(H32="",H31,H32*H13/H33)</f>
        <v>0.005555555555555556</v>
      </c>
      <c r="I64" s="63" t="s">
        <v>21</v>
      </c>
      <c r="L64" s="47" t="s">
        <v>61</v>
      </c>
      <c r="M64" s="1" t="s">
        <v>60</v>
      </c>
      <c r="Q64" s="62">
        <f>IF(Q32="",Q31,Q32*Q13/Q33)</f>
        <v>12.604166666666668</v>
      </c>
      <c r="R64" s="63" t="s">
        <v>21</v>
      </c>
      <c r="T64" s="47" t="s">
        <v>61</v>
      </c>
      <c r="U64" s="1" t="s">
        <v>60</v>
      </c>
      <c r="Y64" s="62">
        <f>IF(Y32="",Y31,Y32*Y13/Y33)</f>
        <v>39.7698504027618</v>
      </c>
      <c r="Z64" s="63" t="s">
        <v>21</v>
      </c>
    </row>
    <row r="65" spans="1:26" ht="15.75">
      <c r="A65" s="23"/>
      <c r="B65" s="24"/>
      <c r="C65" s="1" t="s">
        <v>34</v>
      </c>
      <c r="H65" s="62">
        <f>H64*H33/H13</f>
        <v>0.005</v>
      </c>
      <c r="I65" s="63" t="s">
        <v>21</v>
      </c>
      <c r="L65" s="23"/>
      <c r="M65" s="1" t="s">
        <v>34</v>
      </c>
      <c r="Q65" s="62">
        <f>Q64*Q33/Q13</f>
        <v>11</v>
      </c>
      <c r="R65" s="63" t="s">
        <v>21</v>
      </c>
      <c r="T65" s="23"/>
      <c r="U65" s="1" t="s">
        <v>34</v>
      </c>
      <c r="Y65" s="62">
        <f>Y64*Y33/Y13</f>
        <v>36.00000000000001</v>
      </c>
      <c r="Z65" s="63" t="s">
        <v>21</v>
      </c>
    </row>
    <row r="66" spans="1:26" ht="15.75">
      <c r="A66" s="23"/>
      <c r="B66" s="24"/>
      <c r="C66" s="1" t="s">
        <v>62</v>
      </c>
      <c r="H66" s="62">
        <f>IF(H35="",H34,H35*H33)</f>
        <v>2.54</v>
      </c>
      <c r="I66" s="63" t="s">
        <v>37</v>
      </c>
      <c r="L66" s="23"/>
      <c r="M66" s="1" t="s">
        <v>62</v>
      </c>
      <c r="Q66" s="62">
        <f>IF(Q35="",Q34,Q35*Q33)</f>
        <v>2.54</v>
      </c>
      <c r="R66" s="63" t="s">
        <v>37</v>
      </c>
      <c r="T66" s="23"/>
      <c r="U66" s="1" t="s">
        <v>62</v>
      </c>
      <c r="Y66" s="62">
        <f>IF(Y35="",Y34,Y35*Y33)</f>
        <v>4.553</v>
      </c>
      <c r="Z66" s="63" t="s">
        <v>37</v>
      </c>
    </row>
    <row r="67" spans="1:26" ht="15.75">
      <c r="A67" s="23"/>
      <c r="B67" s="35" t="s">
        <v>39</v>
      </c>
      <c r="C67" s="1" t="s">
        <v>63</v>
      </c>
      <c r="H67" s="62">
        <f>IF(H38="",H37,H38*H13/H39)</f>
        <v>0</v>
      </c>
      <c r="I67" s="63" t="s">
        <v>21</v>
      </c>
      <c r="L67" s="47" t="s">
        <v>64</v>
      </c>
      <c r="M67" s="1" t="s">
        <v>63</v>
      </c>
      <c r="Q67" s="62">
        <f>IF(Q38="",Q37,Q38*Q13/Q39)</f>
        <v>0</v>
      </c>
      <c r="R67" s="63" t="s">
        <v>21</v>
      </c>
      <c r="T67" s="47" t="s">
        <v>64</v>
      </c>
      <c r="U67" s="1" t="s">
        <v>63</v>
      </c>
      <c r="Y67" s="62">
        <f>IF(Y38="",Y37,Y38*Y13/Y39)</f>
        <v>0</v>
      </c>
      <c r="Z67" s="63" t="s">
        <v>21</v>
      </c>
    </row>
    <row r="68" spans="1:26" ht="15.75">
      <c r="A68" s="23"/>
      <c r="B68" s="24"/>
      <c r="C68" s="1" t="s">
        <v>34</v>
      </c>
      <c r="H68" s="62">
        <f>H67*H39/H13</f>
        <v>0</v>
      </c>
      <c r="I68" s="63" t="s">
        <v>21</v>
      </c>
      <c r="L68" s="23"/>
      <c r="M68" s="1" t="s">
        <v>34</v>
      </c>
      <c r="Q68" s="62">
        <f>Q67*Q39/Q13</f>
        <v>0</v>
      </c>
      <c r="R68" s="63" t="s">
        <v>21</v>
      </c>
      <c r="T68" s="23"/>
      <c r="U68" s="1" t="s">
        <v>34</v>
      </c>
      <c r="Y68" s="62">
        <f>Y67*Y39/Y13</f>
        <v>0</v>
      </c>
      <c r="Z68" s="63" t="s">
        <v>21</v>
      </c>
    </row>
    <row r="69" spans="1:26" ht="15.75">
      <c r="A69" s="23"/>
      <c r="B69" s="24"/>
      <c r="C69" s="1" t="s">
        <v>62</v>
      </c>
      <c r="H69" s="62">
        <f>IF(H41="",H40,H41*H39)</f>
        <v>0</v>
      </c>
      <c r="I69" s="63" t="s">
        <v>37</v>
      </c>
      <c r="L69" s="23"/>
      <c r="M69" s="1" t="s">
        <v>62</v>
      </c>
      <c r="Q69" s="62">
        <f>IF(Q41="",Q40,Q41*Q39)</f>
        <v>0</v>
      </c>
      <c r="R69" s="63" t="s">
        <v>37</v>
      </c>
      <c r="T69" s="23"/>
      <c r="U69" s="1" t="s">
        <v>62</v>
      </c>
      <c r="Y69" s="62">
        <f>IF(Y41="",Y40,Y41*Y39)</f>
        <v>0</v>
      </c>
      <c r="Z69" s="63" t="s">
        <v>37</v>
      </c>
    </row>
    <row r="70" spans="1:26" ht="15.75">
      <c r="A70" s="23"/>
      <c r="B70" s="35" t="s">
        <v>18</v>
      </c>
      <c r="C70" s="1" t="s">
        <v>62</v>
      </c>
      <c r="H70" s="62">
        <f>IF(H18=0,H19,H18*H13)</f>
        <v>34.95</v>
      </c>
      <c r="I70" s="63" t="s">
        <v>37</v>
      </c>
      <c r="L70" s="47" t="s">
        <v>18</v>
      </c>
      <c r="M70" s="1" t="s">
        <v>62</v>
      </c>
      <c r="Q70" s="62">
        <f>IF(Q18=0,Q19,Q18*Q13)</f>
        <v>38.3328</v>
      </c>
      <c r="R70" s="63" t="s">
        <v>37</v>
      </c>
      <c r="T70" s="47" t="s">
        <v>18</v>
      </c>
      <c r="U70" s="1" t="s">
        <v>62</v>
      </c>
      <c r="Y70" s="62">
        <f>IF(Y18=0,Y19,Y18*Y13)</f>
        <v>87.72479999999999</v>
      </c>
      <c r="Z70" s="63" t="s">
        <v>37</v>
      </c>
    </row>
    <row r="71" spans="1:26" ht="15.75">
      <c r="A71" s="23"/>
      <c r="B71" s="35" t="s">
        <v>27</v>
      </c>
      <c r="C71" s="1" t="s">
        <v>62</v>
      </c>
      <c r="H71" s="62" t="str">
        <f>IF(H$8="M"," ",IF(H25=0,H26,H25*H21))</f>
        <v> </v>
      </c>
      <c r="I71" s="63" t="s">
        <v>37</v>
      </c>
      <c r="L71" s="47" t="s">
        <v>27</v>
      </c>
      <c r="M71" s="1" t="s">
        <v>62</v>
      </c>
      <c r="Q71" s="62" t="str">
        <f>IF(Q$8="M"," ",IF(Q25=0,Q26,Q25*Q21))</f>
        <v> </v>
      </c>
      <c r="R71" s="63" t="s">
        <v>37</v>
      </c>
      <c r="T71" s="47" t="s">
        <v>27</v>
      </c>
      <c r="U71" s="1" t="s">
        <v>62</v>
      </c>
      <c r="Y71" s="62" t="str">
        <f>IF(Y$8="M"," ",IF(Y25=0,Y26,Y25*Y21))</f>
        <v> </v>
      </c>
      <c r="Z71" s="63" t="s">
        <v>37</v>
      </c>
    </row>
    <row r="72" spans="1:26" ht="15.75">
      <c r="A72" s="23"/>
      <c r="B72" s="35" t="s">
        <v>65</v>
      </c>
      <c r="H72" s="12"/>
      <c r="I72" s="13"/>
      <c r="L72" s="47" t="s">
        <v>65</v>
      </c>
      <c r="Q72" s="12"/>
      <c r="R72" s="13"/>
      <c r="T72" s="47" t="s">
        <v>65</v>
      </c>
      <c r="Y72" s="12"/>
      <c r="Z72" s="13"/>
    </row>
    <row r="73" spans="1:26" ht="15.75">
      <c r="A73" s="23"/>
      <c r="B73" s="24"/>
      <c r="C73" s="1" t="s">
        <v>66</v>
      </c>
      <c r="H73" s="62">
        <f>IF(H$64=0," ",((H64+H67)/100))</f>
        <v>5.555555555555556E-05</v>
      </c>
      <c r="I73" s="13"/>
      <c r="L73" s="23"/>
      <c r="M73" s="1" t="s">
        <v>66</v>
      </c>
      <c r="Q73" s="62">
        <f>IF(Q$64=0," ",((Q64+Q67)/100))</f>
        <v>0.1260416666666667</v>
      </c>
      <c r="R73" s="13"/>
      <c r="T73" s="23"/>
      <c r="U73" s="1" t="s">
        <v>66</v>
      </c>
      <c r="Y73" s="62">
        <f>IF(Y$64=0," ",((Y64+Y67)/100))</f>
        <v>0.39769850402761797</v>
      </c>
      <c r="Z73" s="13"/>
    </row>
    <row r="74" spans="1:26" ht="15.75">
      <c r="A74" s="23"/>
      <c r="B74" s="24"/>
      <c r="C74" s="1" t="s">
        <v>67</v>
      </c>
      <c r="H74" s="62">
        <f>IF(H$64=0," ",(H64*H33+H67*H39)/100)</f>
        <v>5E-05</v>
      </c>
      <c r="I74" s="13"/>
      <c r="L74" s="12"/>
      <c r="M74" s="1" t="s">
        <v>67</v>
      </c>
      <c r="Q74" s="62">
        <f>IF(Q$64=0," ",(Q64*Q33+Q67*Q39)/100)</f>
        <v>0.10890000000000001</v>
      </c>
      <c r="R74" s="13"/>
      <c r="T74" s="12"/>
      <c r="U74" s="1" t="s">
        <v>67</v>
      </c>
      <c r="Y74" s="62">
        <f>IF(Y$64=0," ",(Y64*Y33+Y67*Y39)/100)</f>
        <v>0.3456</v>
      </c>
      <c r="Z74" s="13"/>
    </row>
    <row r="75" spans="1:26" ht="15.75">
      <c r="A75" s="23"/>
      <c r="B75" s="24"/>
      <c r="C75" s="1" t="s">
        <v>68</v>
      </c>
      <c r="H75" s="62">
        <f>IF(H$64=0," ",(H66*H64+H69*H67)/100)</f>
        <v>0.00014111111111111111</v>
      </c>
      <c r="I75" s="13"/>
      <c r="L75" s="12"/>
      <c r="M75" s="1" t="s">
        <v>68</v>
      </c>
      <c r="Q75" s="62">
        <f>IF(Q$64=0," ",(Q66*Q64+Q69*Q67)/100)</f>
        <v>0.32014583333333335</v>
      </c>
      <c r="R75" s="13"/>
      <c r="T75" s="12"/>
      <c r="U75" s="1" t="s">
        <v>68</v>
      </c>
      <c r="Y75" s="62">
        <f>IF(Y$64=0," ",(Y66*Y64+Y69*Y67)/100)</f>
        <v>1.8107212888377446</v>
      </c>
      <c r="Z75" s="13"/>
    </row>
    <row r="76" spans="1:26" ht="15.75">
      <c r="A76" s="25"/>
      <c r="B76" s="26"/>
      <c r="C76" s="18"/>
      <c r="D76" s="18"/>
      <c r="E76" s="18"/>
      <c r="F76" s="18"/>
      <c r="G76" s="18"/>
      <c r="H76" s="17"/>
      <c r="I76" s="19"/>
      <c r="L76" s="12"/>
      <c r="Q76" s="12"/>
      <c r="R76" s="13"/>
      <c r="T76" s="12"/>
      <c r="Y76" s="17"/>
      <c r="Z76" s="19"/>
    </row>
    <row r="77" spans="1:26" ht="15.75">
      <c r="A77" s="59" t="s">
        <v>69</v>
      </c>
      <c r="B77" s="22"/>
      <c r="C77" s="15"/>
      <c r="D77" s="15"/>
      <c r="E77" s="15"/>
      <c r="F77" s="15"/>
      <c r="G77" s="15"/>
      <c r="H77" s="15"/>
      <c r="I77" s="16"/>
      <c r="L77" s="59" t="s">
        <v>70</v>
      </c>
      <c r="M77" s="22"/>
      <c r="N77" s="22"/>
      <c r="O77" s="22"/>
      <c r="P77" s="22"/>
      <c r="Q77" s="22"/>
      <c r="R77" s="27"/>
      <c r="S77" s="24"/>
      <c r="T77" s="59" t="s">
        <v>70</v>
      </c>
      <c r="U77" s="22"/>
      <c r="V77" s="15"/>
      <c r="W77" s="15"/>
      <c r="X77" s="15"/>
      <c r="Z77" s="13"/>
    </row>
    <row r="78" spans="1:26" ht="15.75">
      <c r="A78" s="23"/>
      <c r="B78" s="24"/>
      <c r="D78" s="1" t="s">
        <v>71</v>
      </c>
      <c r="G78" s="7">
        <v>45</v>
      </c>
      <c r="H78" s="1" t="s">
        <v>72</v>
      </c>
      <c r="I78" s="13"/>
      <c r="L78" s="12"/>
      <c r="M78" s="1" t="s">
        <v>71</v>
      </c>
      <c r="P78" s="7">
        <v>32</v>
      </c>
      <c r="Q78" s="8" t="s">
        <v>72</v>
      </c>
      <c r="R78" s="71"/>
      <c r="S78" s="4"/>
      <c r="T78" s="72"/>
      <c r="U78" s="1" t="s">
        <v>71</v>
      </c>
      <c r="V78" s="4"/>
      <c r="W78" s="4"/>
      <c r="X78" s="7">
        <v>22.4</v>
      </c>
      <c r="Y78" s="1" t="s">
        <v>72</v>
      </c>
      <c r="Z78" s="13"/>
    </row>
    <row r="79" spans="1:26" ht="15.75">
      <c r="A79" s="23"/>
      <c r="B79" s="24"/>
      <c r="D79" s="1" t="s">
        <v>73</v>
      </c>
      <c r="G79" s="7">
        <v>1</v>
      </c>
      <c r="H79" s="1" t="s">
        <v>74</v>
      </c>
      <c r="I79" s="13"/>
      <c r="L79" s="12"/>
      <c r="M79" s="1" t="s">
        <v>73</v>
      </c>
      <c r="P79" s="7">
        <f>G79</f>
        <v>1</v>
      </c>
      <c r="Q79" s="8" t="s">
        <v>74</v>
      </c>
      <c r="R79" s="71"/>
      <c r="S79" s="4"/>
      <c r="T79" s="72"/>
      <c r="U79" s="1" t="s">
        <v>73</v>
      </c>
      <c r="V79" s="4"/>
      <c r="W79" s="4"/>
      <c r="X79" s="7">
        <f>G79</f>
        <v>1</v>
      </c>
      <c r="Y79" s="1" t="s">
        <v>74</v>
      </c>
      <c r="Z79" s="13"/>
    </row>
    <row r="80" spans="1:26" ht="15.75">
      <c r="A80" s="23"/>
      <c r="B80" s="24"/>
      <c r="D80" s="1" t="s">
        <v>75</v>
      </c>
      <c r="G80" s="3">
        <v>0.162</v>
      </c>
      <c r="H80" s="1" t="s">
        <v>76</v>
      </c>
      <c r="I80" s="13"/>
      <c r="L80" s="12"/>
      <c r="M80" s="1" t="s">
        <v>77</v>
      </c>
      <c r="P80" s="6">
        <f>IF(Q8="M",(G83*P78*Q48*P79*0.1)/(G78*Q14),(G83*P78*Q48*P79*0.1)/(G78*Q46)*(Q43/(1+Q43)))</f>
        <v>0.11386906290115531</v>
      </c>
      <c r="Q80" s="1" t="s">
        <v>76</v>
      </c>
      <c r="R80" s="13"/>
      <c r="T80" s="12"/>
      <c r="U80" s="1" t="s">
        <v>77</v>
      </c>
      <c r="X80" s="6">
        <f>IF(Y8="M",(G83*X78*Y48*X79*0.1)/(G78*Y14),(G83*X78*Y48*X79*0.1)/(G78*Y46)*(Y43/(1+Y43)))</f>
        <v>0.11833962264150945</v>
      </c>
      <c r="Y80" s="1" t="s">
        <v>76</v>
      </c>
      <c r="Z80" s="13"/>
    </row>
    <row r="81" spans="1:26" ht="15.75">
      <c r="A81" s="23"/>
      <c r="B81" s="24"/>
      <c r="D81" s="1" t="s">
        <v>78</v>
      </c>
      <c r="G81" s="3"/>
      <c r="H81" s="1" t="s">
        <v>76</v>
      </c>
      <c r="I81" s="13"/>
      <c r="L81" s="12"/>
      <c r="M81" s="1" t="s">
        <v>78</v>
      </c>
      <c r="P81" s="6" t="str">
        <f>IF(Q8="M"," ",(G83*P78*Q48*P79*0.1)/(G78*Q46)/(1+Q43))</f>
        <v> </v>
      </c>
      <c r="Q81" s="1" t="s">
        <v>76</v>
      </c>
      <c r="R81" s="13"/>
      <c r="T81" s="12"/>
      <c r="U81" s="1" t="s">
        <v>78</v>
      </c>
      <c r="X81" s="6">
        <f>IF(Y8="M","",(G83*X78*Y48*X79*0.1)/(G78*Y46)/(1+Y43))</f>
      </c>
      <c r="Y81" s="1" t="s">
        <v>76</v>
      </c>
      <c r="Z81" s="13"/>
    </row>
    <row r="82" spans="1:26" ht="15.75">
      <c r="A82" s="23"/>
      <c r="B82" s="24"/>
      <c r="D82" s="1" t="s">
        <v>79</v>
      </c>
      <c r="G82" s="5" t="str">
        <f>IF(H$8="M"," ",G80/G81)</f>
        <v> </v>
      </c>
      <c r="I82" s="13"/>
      <c r="L82" s="12"/>
      <c r="M82" s="1" t="s">
        <v>79</v>
      </c>
      <c r="P82" s="6" t="str">
        <f>IF(Q8="M"," ",P80/P81)</f>
        <v> </v>
      </c>
      <c r="R82" s="13"/>
      <c r="T82" s="12"/>
      <c r="U82" s="1" t="s">
        <v>79</v>
      </c>
      <c r="X82" s="6" t="str">
        <f>IF(Y8="M"," ",X80/X81)</f>
        <v> </v>
      </c>
      <c r="Z82" s="13"/>
    </row>
    <row r="83" spans="1:26" ht="16.5" thickBot="1">
      <c r="A83" s="17"/>
      <c r="B83" s="18"/>
      <c r="C83" s="18"/>
      <c r="D83" s="57" t="s">
        <v>80</v>
      </c>
      <c r="E83" s="18"/>
      <c r="F83" s="18"/>
      <c r="G83" s="73">
        <f>IF(H$8="M",G80*H14/(H48*G79*100)/0.001,(G80*H14+G81*H22)/(H48*G79*0.1))</f>
        <v>63</v>
      </c>
      <c r="H83" s="57" t="s">
        <v>81</v>
      </c>
      <c r="I83" s="19"/>
      <c r="L83" s="17"/>
      <c r="M83" s="57" t="s">
        <v>80</v>
      </c>
      <c r="N83" s="18"/>
      <c r="O83" s="18"/>
      <c r="P83" s="73">
        <f>IF(Q$8="M",P80*Q14/(Q48*P79*100)/0.001,(P80*Q14+P81*Q22)/(Q48*P79*0.1))</f>
        <v>44.800000000000004</v>
      </c>
      <c r="Q83" s="57" t="s">
        <v>81</v>
      </c>
      <c r="R83" s="19"/>
      <c r="T83" s="17"/>
      <c r="U83" s="57" t="s">
        <v>80</v>
      </c>
      <c r="V83" s="18"/>
      <c r="W83" s="18"/>
      <c r="X83" s="73">
        <f>IF(Y$8="M",X80*Y14/(Y48*X79*100)/0.001,(X80*Y14+X81*Y22)/(Y48*X79*0.1))</f>
        <v>31.360000000000007</v>
      </c>
      <c r="Y83" s="57" t="s">
        <v>81</v>
      </c>
      <c r="Z83" s="19"/>
    </row>
    <row r="84" spans="1:26" ht="16.5" thickTop="1">
      <c r="A84" s="74" t="s">
        <v>82</v>
      </c>
      <c r="B84" s="31"/>
      <c r="C84" s="75" t="s">
        <v>83</v>
      </c>
      <c r="D84" s="32"/>
      <c r="E84" s="76" t="s">
        <v>84</v>
      </c>
      <c r="F84" s="77" t="s">
        <v>85</v>
      </c>
      <c r="G84" s="32"/>
      <c r="H84" s="75" t="s">
        <v>86</v>
      </c>
      <c r="I84" s="32"/>
      <c r="J84" s="32"/>
      <c r="K84" s="33"/>
      <c r="L84" s="75" t="s">
        <v>87</v>
      </c>
      <c r="M84" s="32"/>
      <c r="N84" s="78" t="s">
        <v>84</v>
      </c>
      <c r="O84" s="75" t="s">
        <v>85</v>
      </c>
      <c r="P84" s="32"/>
      <c r="Q84" s="75" t="s">
        <v>88</v>
      </c>
      <c r="R84" s="33"/>
      <c r="S84" s="24"/>
      <c r="T84" s="75" t="s">
        <v>87</v>
      </c>
      <c r="U84" s="32"/>
      <c r="V84" s="78" t="s">
        <v>84</v>
      </c>
      <c r="W84" s="75" t="s">
        <v>85</v>
      </c>
      <c r="X84" s="32"/>
      <c r="Y84" s="75" t="s">
        <v>88</v>
      </c>
      <c r="Z84" s="33"/>
    </row>
    <row r="85" spans="1:32" ht="15.75">
      <c r="A85" s="56" t="s">
        <v>89</v>
      </c>
      <c r="B85" s="56" t="s">
        <v>90</v>
      </c>
      <c r="C85" s="56" t="s">
        <v>91</v>
      </c>
      <c r="D85" s="56" t="s">
        <v>92</v>
      </c>
      <c r="E85" s="79" t="s">
        <v>93</v>
      </c>
      <c r="F85" s="54" t="s">
        <v>94</v>
      </c>
      <c r="G85" s="56" t="s">
        <v>95</v>
      </c>
      <c r="H85" s="80" t="s">
        <v>96</v>
      </c>
      <c r="I85" s="81" t="s">
        <v>97</v>
      </c>
      <c r="J85" s="82" t="s">
        <v>98</v>
      </c>
      <c r="K85" s="30"/>
      <c r="L85" s="56" t="s">
        <v>91</v>
      </c>
      <c r="M85" s="56" t="s">
        <v>92</v>
      </c>
      <c r="N85" s="79" t="s">
        <v>93</v>
      </c>
      <c r="O85" s="54" t="s">
        <v>94</v>
      </c>
      <c r="P85" s="56" t="s">
        <v>95</v>
      </c>
      <c r="Q85" s="56" t="s">
        <v>94</v>
      </c>
      <c r="R85" s="79" t="s">
        <v>95</v>
      </c>
      <c r="T85" s="56" t="s">
        <v>91</v>
      </c>
      <c r="U85" s="56" t="s">
        <v>92</v>
      </c>
      <c r="V85" s="79" t="s">
        <v>93</v>
      </c>
      <c r="W85" s="54" t="s">
        <v>94</v>
      </c>
      <c r="X85" s="56" t="s">
        <v>95</v>
      </c>
      <c r="Y85" s="56" t="s">
        <v>94</v>
      </c>
      <c r="Z85" s="79" t="s">
        <v>95</v>
      </c>
      <c r="AB85" s="5" t="str">
        <f>H85</f>
        <v>Sochaux</v>
      </c>
      <c r="AD85" s="5" t="str">
        <f>I85</f>
        <v>Mulh.</v>
      </c>
      <c r="AF85" s="5" t="str">
        <f>J85</f>
        <v>Poissy</v>
      </c>
    </row>
    <row r="86" spans="1:32" ht="15.75">
      <c r="A86" s="17"/>
      <c r="B86" s="83" t="s">
        <v>99</v>
      </c>
      <c r="C86" s="83" t="s">
        <v>100</v>
      </c>
      <c r="D86" s="83" t="s">
        <v>100</v>
      </c>
      <c r="E86" s="84" t="s">
        <v>100</v>
      </c>
      <c r="F86" s="85" t="s">
        <v>101</v>
      </c>
      <c r="G86" s="83" t="s">
        <v>101</v>
      </c>
      <c r="H86" s="83" t="s">
        <v>102</v>
      </c>
      <c r="I86" s="84" t="s">
        <v>102</v>
      </c>
      <c r="J86" s="86" t="s">
        <v>102</v>
      </c>
      <c r="K86" s="29"/>
      <c r="L86" s="83" t="s">
        <v>100</v>
      </c>
      <c r="M86" s="83" t="s">
        <v>100</v>
      </c>
      <c r="N86" s="84" t="s">
        <v>100</v>
      </c>
      <c r="O86" s="85" t="s">
        <v>101</v>
      </c>
      <c r="P86" s="83" t="s">
        <v>101</v>
      </c>
      <c r="Q86" s="83" t="s">
        <v>101</v>
      </c>
      <c r="R86" s="84" t="s">
        <v>101</v>
      </c>
      <c r="S86" s="18"/>
      <c r="T86" s="83" t="s">
        <v>100</v>
      </c>
      <c r="U86" s="83" t="s">
        <v>100</v>
      </c>
      <c r="V86" s="84" t="s">
        <v>100</v>
      </c>
      <c r="W86" s="85" t="s">
        <v>101</v>
      </c>
      <c r="X86" s="83" t="s">
        <v>101</v>
      </c>
      <c r="Y86" s="83" t="s">
        <v>101</v>
      </c>
      <c r="Z86" s="84" t="s">
        <v>101</v>
      </c>
      <c r="AB86" s="1" t="s">
        <v>103</v>
      </c>
      <c r="AD86" s="1" t="s">
        <v>103</v>
      </c>
      <c r="AF86" s="1" t="s">
        <v>103</v>
      </c>
    </row>
    <row r="87" spans="1:33" ht="15.75">
      <c r="A87" s="66" t="s">
        <v>104</v>
      </c>
      <c r="B87" s="87">
        <v>1</v>
      </c>
      <c r="C87" s="72">
        <f aca="true" t="shared" si="0" ref="C87:C102">$G$80*$B87/G$79</f>
        <v>0.162</v>
      </c>
      <c r="D87" s="72">
        <f aca="true" t="shared" si="1" ref="D87:D102">$G$81*$B87/G$79</f>
        <v>0</v>
      </c>
      <c r="E87" s="88">
        <f aca="true" t="shared" si="2" ref="E87:E102">IF(H$9="S",C87*(100-H$14)/100+D87*(100-H$22)/100,(C87*H$15+D87*H$23)/100)</f>
        <v>0.0891</v>
      </c>
      <c r="F87" s="9">
        <f aca="true" t="shared" si="3" ref="F87:F102">IF(H$8="M",C87*H$18,(C87*H$18)+(D87*H$71))</f>
        <v>5.661900000000001</v>
      </c>
      <c r="G87" s="89">
        <f aca="true" t="shared" si="4" ref="G87:G102">IF(H$64=0,F87,F87+C87/H$13*H$75)</f>
        <v>5.661922860000001</v>
      </c>
      <c r="H87" s="90"/>
      <c r="I87" s="91"/>
      <c r="J87" s="10"/>
      <c r="K87" s="13"/>
      <c r="L87" s="72">
        <f aca="true" t="shared" si="5" ref="L87:L102">$P$80*$B87/P$79</f>
        <v>0.11386906290115531</v>
      </c>
      <c r="M87" s="72">
        <f aca="true" t="shared" si="6" ref="M87:M102">$P$81*$B87/P$79</f>
        <v>0</v>
      </c>
      <c r="N87" s="88">
        <f aca="true" t="shared" si="7" ref="N87:N102">IF(Q$9="S",L87*(100-Q$14)/100+M87*(100-Q$22)/100,(L87*Q$15+M87*Q$23)/100)</f>
        <v>0.0631973299101412</v>
      </c>
      <c r="O87" s="9">
        <f aca="true" t="shared" si="8" ref="O87:O102">IF(Q$8="M",L87*Q$18,(L87*Q$18)+(M87*Q$71))</f>
        <v>4.409010115532734</v>
      </c>
      <c r="P87" s="89">
        <f aca="true" t="shared" si="9" ref="P87:P102">IF(Q$64=0,O87,O87+L87/Q$13*Q$75)</f>
        <v>4.445833050919982</v>
      </c>
      <c r="Q87" s="89">
        <f aca="true" t="shared" si="10" ref="Q87:R102">O87-F87</f>
        <v>-1.2528898844672671</v>
      </c>
      <c r="R87" s="92">
        <f t="shared" si="10"/>
        <v>-1.2160898090800183</v>
      </c>
      <c r="T87" s="72">
        <f aca="true" t="shared" si="11" ref="T87:T102">$X$80*$B87/X$79</f>
        <v>0.11833962264150945</v>
      </c>
      <c r="U87" s="72">
        <f aca="true" t="shared" si="12" ref="U87:U102">$X$81*$B87/X$79</f>
        <v>0</v>
      </c>
      <c r="V87" s="88">
        <f aca="true" t="shared" si="13" ref="V87:V102">IF(Y$9="S",T87*(100-Y$14)/100+U87*(100-Y$22)/100,(T87*Y$15+U87*Y$23)/100)</f>
        <v>0.08271939622641511</v>
      </c>
      <c r="W87" s="9">
        <f aca="true" t="shared" si="14" ref="W87:W102">IF(Y$8="M",T87*Y$18,(T87*Y$18)+(U87*Y$71))</f>
        <v>10.813874716981132</v>
      </c>
      <c r="X87" s="89">
        <f aca="true" t="shared" si="15" ref="X87:X102">IF(Y$64=0,W87,W87+T87/Y$13*Y$75)</f>
        <v>11.037083127429057</v>
      </c>
      <c r="Y87" s="89">
        <f aca="true" t="shared" si="16" ref="Y87:Z102">W87-F87</f>
        <v>5.151974716981131</v>
      </c>
      <c r="Z87" s="92">
        <f t="shared" si="16"/>
        <v>5.375160267429056</v>
      </c>
      <c r="AB87" s="9">
        <f aca="true" t="shared" si="17" ref="AB87:AB102">IF(H87=0,"",H87*B87/1000)</f>
      </c>
      <c r="AC87" s="4"/>
      <c r="AD87" s="9">
        <f aca="true" t="shared" si="18" ref="AD87:AD102">IF(I87=0,"",I87*B87/1000)</f>
      </c>
      <c r="AE87" s="4"/>
      <c r="AF87" s="9">
        <f aca="true" t="shared" si="19" ref="AF87:AF102">IF(J87=0,"",J87*B87/1000)</f>
      </c>
      <c r="AG87" s="4"/>
    </row>
    <row r="88" spans="1:33" ht="15.75">
      <c r="A88" s="66" t="s">
        <v>105</v>
      </c>
      <c r="B88" s="87">
        <v>12.566</v>
      </c>
      <c r="C88" s="72">
        <f t="shared" si="0"/>
        <v>2.035692</v>
      </c>
      <c r="D88" s="72">
        <f t="shared" si="1"/>
        <v>0</v>
      </c>
      <c r="E88" s="88">
        <f t="shared" si="2"/>
        <v>1.1196306</v>
      </c>
      <c r="F88" s="9">
        <f t="shared" si="3"/>
        <v>71.1474354</v>
      </c>
      <c r="G88" s="89">
        <f t="shared" si="4"/>
        <v>71.14772265876</v>
      </c>
      <c r="H88" s="90">
        <v>270</v>
      </c>
      <c r="I88" s="91">
        <v>326</v>
      </c>
      <c r="J88" s="10"/>
      <c r="K88" s="13"/>
      <c r="L88" s="72">
        <f t="shared" si="5"/>
        <v>1.4308786444159176</v>
      </c>
      <c r="M88" s="72">
        <f t="shared" si="6"/>
        <v>0</v>
      </c>
      <c r="N88" s="88">
        <f t="shared" si="7"/>
        <v>0.7941376476508343</v>
      </c>
      <c r="O88" s="9">
        <f t="shared" si="8"/>
        <v>55.403621111784325</v>
      </c>
      <c r="P88" s="89">
        <f t="shared" si="9"/>
        <v>55.866338117860494</v>
      </c>
      <c r="Q88" s="89">
        <f t="shared" si="10"/>
        <v>-15.743814288215681</v>
      </c>
      <c r="R88" s="92">
        <f t="shared" si="10"/>
        <v>-15.28138454089951</v>
      </c>
      <c r="T88" s="72">
        <f t="shared" si="11"/>
        <v>1.4870556981132077</v>
      </c>
      <c r="U88" s="72">
        <f t="shared" si="12"/>
        <v>0</v>
      </c>
      <c r="V88" s="88">
        <f t="shared" si="13"/>
        <v>1.0394519329811323</v>
      </c>
      <c r="W88" s="9">
        <f t="shared" si="14"/>
        <v>135.88714969358492</v>
      </c>
      <c r="X88" s="89">
        <f t="shared" si="15"/>
        <v>138.69198657927353</v>
      </c>
      <c r="Y88" s="89">
        <f t="shared" si="16"/>
        <v>64.73971429358491</v>
      </c>
      <c r="Z88" s="92">
        <f t="shared" si="16"/>
        <v>67.54426392051353</v>
      </c>
      <c r="AB88" s="9">
        <f t="shared" si="17"/>
        <v>3.39282</v>
      </c>
      <c r="AC88" s="4"/>
      <c r="AD88" s="9">
        <f t="shared" si="18"/>
        <v>4.096516</v>
      </c>
      <c r="AE88" s="4"/>
      <c r="AF88" s="9">
        <f t="shared" si="19"/>
      </c>
      <c r="AG88" s="4"/>
    </row>
    <row r="89" spans="1:33" ht="15.75">
      <c r="A89" s="66" t="s">
        <v>106</v>
      </c>
      <c r="B89" s="87">
        <v>14.052</v>
      </c>
      <c r="C89" s="72">
        <f t="shared" si="0"/>
        <v>2.276424</v>
      </c>
      <c r="D89" s="72">
        <f t="shared" si="1"/>
        <v>0</v>
      </c>
      <c r="E89" s="88">
        <f t="shared" si="2"/>
        <v>1.2520332</v>
      </c>
      <c r="F89" s="9">
        <f t="shared" si="3"/>
        <v>79.56101880000001</v>
      </c>
      <c r="G89" s="89">
        <f t="shared" si="4"/>
        <v>79.56134002872001</v>
      </c>
      <c r="H89" s="90"/>
      <c r="I89" s="91">
        <v>334</v>
      </c>
      <c r="J89" s="10"/>
      <c r="K89" s="13"/>
      <c r="L89" s="72">
        <f t="shared" si="5"/>
        <v>1.6000880718870343</v>
      </c>
      <c r="M89" s="72">
        <f t="shared" si="6"/>
        <v>0</v>
      </c>
      <c r="N89" s="88">
        <f t="shared" si="7"/>
        <v>0.8880488798973041</v>
      </c>
      <c r="O89" s="9">
        <f t="shared" si="8"/>
        <v>61.95541014346597</v>
      </c>
      <c r="P89" s="89">
        <f t="shared" si="9"/>
        <v>62.47284603152759</v>
      </c>
      <c r="Q89" s="89">
        <f t="shared" si="10"/>
        <v>-17.605608656534045</v>
      </c>
      <c r="R89" s="92">
        <f t="shared" si="10"/>
        <v>-17.088493997192423</v>
      </c>
      <c r="T89" s="72">
        <f t="shared" si="11"/>
        <v>1.6629083773584907</v>
      </c>
      <c r="U89" s="72">
        <f t="shared" si="12"/>
        <v>0</v>
      </c>
      <c r="V89" s="88">
        <f t="shared" si="13"/>
        <v>1.1623729557735851</v>
      </c>
      <c r="W89" s="9">
        <f t="shared" si="14"/>
        <v>151.95656752301886</v>
      </c>
      <c r="X89" s="89">
        <f t="shared" si="15"/>
        <v>155.09309210663307</v>
      </c>
      <c r="Y89" s="89">
        <f t="shared" si="16"/>
        <v>72.39554872301885</v>
      </c>
      <c r="Z89" s="92">
        <f t="shared" si="16"/>
        <v>75.53175207791305</v>
      </c>
      <c r="AB89" s="9">
        <f t="shared" si="17"/>
      </c>
      <c r="AC89" s="4"/>
      <c r="AD89" s="9">
        <f t="shared" si="18"/>
        <v>4.6933679999999995</v>
      </c>
      <c r="AE89" s="4"/>
      <c r="AF89" s="9">
        <f t="shared" si="19"/>
      </c>
      <c r="AG89" s="4"/>
    </row>
    <row r="90" spans="1:33" ht="15.75">
      <c r="A90" s="102" t="s">
        <v>107</v>
      </c>
      <c r="B90" s="87">
        <v>18.79</v>
      </c>
      <c r="C90" s="72">
        <f t="shared" si="0"/>
        <v>3.04398</v>
      </c>
      <c r="D90" s="72">
        <f t="shared" si="1"/>
        <v>0</v>
      </c>
      <c r="E90" s="88">
        <f t="shared" si="2"/>
        <v>1.6741890000000001</v>
      </c>
      <c r="F90" s="9">
        <f t="shared" si="3"/>
        <v>106.387101</v>
      </c>
      <c r="G90" s="89">
        <f t="shared" si="4"/>
        <v>106.3875305394</v>
      </c>
      <c r="H90" s="90">
        <v>880</v>
      </c>
      <c r="I90" s="91"/>
      <c r="J90" s="10"/>
      <c r="K90" s="13"/>
      <c r="L90" s="72">
        <f t="shared" si="5"/>
        <v>2.139599691912708</v>
      </c>
      <c r="M90" s="72">
        <f t="shared" si="6"/>
        <v>0</v>
      </c>
      <c r="N90" s="88">
        <f t="shared" si="7"/>
        <v>1.1874778290115529</v>
      </c>
      <c r="O90" s="9">
        <f t="shared" si="8"/>
        <v>82.84530007086005</v>
      </c>
      <c r="P90" s="89">
        <f t="shared" si="9"/>
        <v>83.53720302678644</v>
      </c>
      <c r="Q90" s="89">
        <f t="shared" si="10"/>
        <v>-23.541800929139953</v>
      </c>
      <c r="R90" s="92">
        <f t="shared" si="10"/>
        <v>-22.85032751261356</v>
      </c>
      <c r="T90" s="72">
        <f t="shared" si="11"/>
        <v>2.2236015094339625</v>
      </c>
      <c r="U90" s="72">
        <f t="shared" si="12"/>
        <v>0</v>
      </c>
      <c r="V90" s="88">
        <f t="shared" si="13"/>
        <v>1.5542974550943398</v>
      </c>
      <c r="W90" s="9">
        <f t="shared" si="14"/>
        <v>203.19270593207548</v>
      </c>
      <c r="X90" s="89">
        <f t="shared" si="15"/>
        <v>207.38679196439196</v>
      </c>
      <c r="Y90" s="89">
        <f t="shared" si="16"/>
        <v>96.80560493207548</v>
      </c>
      <c r="Z90" s="92">
        <f t="shared" si="16"/>
        <v>100.99926142499196</v>
      </c>
      <c r="AB90" s="9">
        <f t="shared" si="17"/>
        <v>16.5352</v>
      </c>
      <c r="AC90" s="4"/>
      <c r="AD90" s="9">
        <f t="shared" si="18"/>
      </c>
      <c r="AE90" s="4"/>
      <c r="AF90" s="9">
        <f t="shared" si="19"/>
      </c>
      <c r="AG90" s="4"/>
    </row>
    <row r="91" spans="1:33" ht="15.75">
      <c r="A91" s="102" t="s">
        <v>108</v>
      </c>
      <c r="B91" s="87">
        <v>20.777</v>
      </c>
      <c r="C91" s="72">
        <f t="shared" si="0"/>
        <v>3.3658740000000003</v>
      </c>
      <c r="D91" s="72">
        <f t="shared" si="1"/>
        <v>0</v>
      </c>
      <c r="E91" s="88">
        <f t="shared" si="2"/>
        <v>1.8512307000000001</v>
      </c>
      <c r="F91" s="9">
        <f t="shared" si="3"/>
        <v>117.63729630000002</v>
      </c>
      <c r="G91" s="89">
        <f t="shared" si="4"/>
        <v>117.63777126222001</v>
      </c>
      <c r="H91" s="90">
        <v>204</v>
      </c>
      <c r="I91" s="91"/>
      <c r="J91" s="10"/>
      <c r="K91" s="13"/>
      <c r="L91" s="72">
        <f t="shared" si="5"/>
        <v>2.365857519897304</v>
      </c>
      <c r="M91" s="72">
        <f t="shared" si="6"/>
        <v>0</v>
      </c>
      <c r="N91" s="88">
        <f t="shared" si="7"/>
        <v>1.3130509235430037</v>
      </c>
      <c r="O91" s="9">
        <f t="shared" si="8"/>
        <v>91.6060031704236</v>
      </c>
      <c r="P91" s="89">
        <f t="shared" si="9"/>
        <v>92.37107329896448</v>
      </c>
      <c r="Q91" s="89">
        <f t="shared" si="10"/>
        <v>-26.03129312957641</v>
      </c>
      <c r="R91" s="92">
        <f t="shared" si="10"/>
        <v>-25.266697963255538</v>
      </c>
      <c r="T91" s="72">
        <f t="shared" si="11"/>
        <v>2.458742339622642</v>
      </c>
      <c r="U91" s="72">
        <f t="shared" si="12"/>
        <v>0</v>
      </c>
      <c r="V91" s="88">
        <f t="shared" si="13"/>
        <v>1.718660895396227</v>
      </c>
      <c r="W91" s="9">
        <f t="shared" si="14"/>
        <v>224.679874994717</v>
      </c>
      <c r="X91" s="89">
        <f t="shared" si="15"/>
        <v>229.31747613859352</v>
      </c>
      <c r="Y91" s="89">
        <f t="shared" si="16"/>
        <v>107.042578694717</v>
      </c>
      <c r="Z91" s="92">
        <f t="shared" si="16"/>
        <v>111.6797048763735</v>
      </c>
      <c r="AB91" s="9">
        <f t="shared" si="17"/>
        <v>4.2385079999999995</v>
      </c>
      <c r="AC91" s="4"/>
      <c r="AD91" s="9">
        <f t="shared" si="18"/>
      </c>
      <c r="AE91" s="4"/>
      <c r="AF91" s="9">
        <f t="shared" si="19"/>
      </c>
      <c r="AG91" s="4"/>
    </row>
    <row r="92" spans="1:33" ht="15.75">
      <c r="A92" s="66" t="s">
        <v>150</v>
      </c>
      <c r="B92" s="87">
        <v>14.389</v>
      </c>
      <c r="C92" s="72">
        <f t="shared" si="0"/>
        <v>2.331018</v>
      </c>
      <c r="D92" s="72">
        <f t="shared" si="1"/>
        <v>0</v>
      </c>
      <c r="E92" s="88">
        <f t="shared" si="2"/>
        <v>1.2820599</v>
      </c>
      <c r="F92" s="9">
        <f t="shared" si="3"/>
        <v>81.4690791</v>
      </c>
      <c r="G92" s="89">
        <f t="shared" si="4"/>
        <v>81.46940803254</v>
      </c>
      <c r="H92" s="90"/>
      <c r="I92" s="91"/>
      <c r="J92" s="10"/>
      <c r="K92" s="13"/>
      <c r="L92" s="72">
        <f t="shared" si="5"/>
        <v>1.6384619460847236</v>
      </c>
      <c r="M92" s="72">
        <f t="shared" si="6"/>
        <v>0</v>
      </c>
      <c r="N92" s="88">
        <f t="shared" si="7"/>
        <v>0.9093463800770216</v>
      </c>
      <c r="O92" s="9">
        <f t="shared" si="8"/>
        <v>63.4412465524005</v>
      </c>
      <c r="P92" s="89">
        <f t="shared" si="9"/>
        <v>63.97109176968762</v>
      </c>
      <c r="Q92" s="89">
        <f t="shared" si="10"/>
        <v>-18.027832547599502</v>
      </c>
      <c r="R92" s="92">
        <f t="shared" si="10"/>
        <v>-17.498316262852384</v>
      </c>
      <c r="T92" s="72">
        <f t="shared" si="11"/>
        <v>1.7027888301886793</v>
      </c>
      <c r="U92" s="72">
        <f t="shared" si="12"/>
        <v>0</v>
      </c>
      <c r="V92" s="88">
        <f t="shared" si="13"/>
        <v>1.1902493923018869</v>
      </c>
      <c r="W92" s="9">
        <f t="shared" si="14"/>
        <v>155.60084330264152</v>
      </c>
      <c r="X92" s="89">
        <f t="shared" si="15"/>
        <v>158.8125891205767</v>
      </c>
      <c r="Y92" s="89">
        <f t="shared" si="16"/>
        <v>74.13176420264152</v>
      </c>
      <c r="Z92" s="92">
        <f t="shared" si="16"/>
        <v>77.34318108803669</v>
      </c>
      <c r="AB92" s="9">
        <f t="shared" si="17"/>
      </c>
      <c r="AC92" s="4"/>
      <c r="AD92" s="9">
        <f t="shared" si="18"/>
      </c>
      <c r="AE92" s="4"/>
      <c r="AF92" s="9">
        <f t="shared" si="19"/>
      </c>
      <c r="AG92" s="4"/>
    </row>
    <row r="93" spans="1:33" ht="15.75">
      <c r="A93" s="102" t="s">
        <v>387</v>
      </c>
      <c r="B93" s="87">
        <v>17.777</v>
      </c>
      <c r="C93" s="72">
        <f t="shared" si="0"/>
        <v>2.879874</v>
      </c>
      <c r="D93" s="72">
        <f t="shared" si="1"/>
        <v>0</v>
      </c>
      <c r="E93" s="88">
        <f t="shared" si="2"/>
        <v>1.5839307</v>
      </c>
      <c r="F93" s="9">
        <f t="shared" si="3"/>
        <v>100.65159630000001</v>
      </c>
      <c r="G93" s="89">
        <f t="shared" si="4"/>
        <v>100.65200268222002</v>
      </c>
      <c r="H93" s="90">
        <v>50</v>
      </c>
      <c r="I93" s="91"/>
      <c r="J93" s="10"/>
      <c r="K93" s="13"/>
      <c r="L93" s="72">
        <f t="shared" si="5"/>
        <v>2.024250331193838</v>
      </c>
      <c r="M93" s="72">
        <f t="shared" si="6"/>
        <v>0</v>
      </c>
      <c r="N93" s="88">
        <f t="shared" si="7"/>
        <v>1.12345893381258</v>
      </c>
      <c r="O93" s="9">
        <f t="shared" si="8"/>
        <v>78.3789728238254</v>
      </c>
      <c r="P93" s="89">
        <f t="shared" si="9"/>
        <v>79.03357414620453</v>
      </c>
      <c r="Q93" s="89">
        <f t="shared" si="10"/>
        <v>-22.2726234761746</v>
      </c>
      <c r="R93" s="92">
        <f t="shared" si="10"/>
        <v>-21.618428536015486</v>
      </c>
      <c r="T93" s="72">
        <f t="shared" si="11"/>
        <v>2.1037234716981135</v>
      </c>
      <c r="U93" s="72">
        <f t="shared" si="12"/>
        <v>0</v>
      </c>
      <c r="V93" s="88">
        <f t="shared" si="13"/>
        <v>1.4705027067169814</v>
      </c>
      <c r="W93" s="9">
        <f t="shared" si="14"/>
        <v>192.23825084377359</v>
      </c>
      <c r="X93" s="89">
        <f t="shared" si="15"/>
        <v>196.2062267563063</v>
      </c>
      <c r="Y93" s="89">
        <f t="shared" si="16"/>
        <v>91.58665454377358</v>
      </c>
      <c r="Z93" s="92">
        <f t="shared" si="16"/>
        <v>95.55422407408629</v>
      </c>
      <c r="AB93" s="9">
        <f t="shared" si="17"/>
        <v>0.88885</v>
      </c>
      <c r="AC93" s="4"/>
      <c r="AD93" s="9">
        <f t="shared" si="18"/>
      </c>
      <c r="AE93" s="4"/>
      <c r="AF93" s="9">
        <f t="shared" si="19"/>
      </c>
      <c r="AG93" s="4"/>
    </row>
    <row r="94" spans="1:33" ht="15.75">
      <c r="A94" s="102" t="s">
        <v>110</v>
      </c>
      <c r="B94" s="87">
        <v>15.69</v>
      </c>
      <c r="C94" s="72">
        <f t="shared" si="0"/>
        <v>2.54178</v>
      </c>
      <c r="D94" s="72">
        <f t="shared" si="1"/>
        <v>0</v>
      </c>
      <c r="E94" s="88">
        <f t="shared" si="2"/>
        <v>1.397979</v>
      </c>
      <c r="F94" s="9">
        <f t="shared" si="3"/>
        <v>88.83521100000002</v>
      </c>
      <c r="G94" s="89">
        <f t="shared" si="4"/>
        <v>88.83556967340002</v>
      </c>
      <c r="H94" s="90"/>
      <c r="I94" s="91"/>
      <c r="J94" s="10">
        <v>550</v>
      </c>
      <c r="K94" s="13"/>
      <c r="L94" s="72">
        <f t="shared" si="5"/>
        <v>1.7866055969191268</v>
      </c>
      <c r="M94" s="72">
        <f t="shared" si="6"/>
        <v>0</v>
      </c>
      <c r="N94" s="88">
        <f t="shared" si="7"/>
        <v>0.9915661062901154</v>
      </c>
      <c r="O94" s="9">
        <f t="shared" si="8"/>
        <v>69.17736871270859</v>
      </c>
      <c r="P94" s="89">
        <f t="shared" si="9"/>
        <v>69.75512056893452</v>
      </c>
      <c r="Q94" s="89">
        <f t="shared" si="10"/>
        <v>-19.65784228729143</v>
      </c>
      <c r="R94" s="92">
        <f t="shared" si="10"/>
        <v>-19.0804491044655</v>
      </c>
      <c r="T94" s="72">
        <f t="shared" si="11"/>
        <v>1.8567486792452832</v>
      </c>
      <c r="U94" s="72">
        <f t="shared" si="12"/>
        <v>0</v>
      </c>
      <c r="V94" s="88">
        <f t="shared" si="13"/>
        <v>1.2978673267924532</v>
      </c>
      <c r="W94" s="9">
        <f t="shared" si="14"/>
        <v>169.66969430943396</v>
      </c>
      <c r="X94" s="89">
        <f t="shared" si="15"/>
        <v>173.17183426936188</v>
      </c>
      <c r="Y94" s="89">
        <f t="shared" si="16"/>
        <v>80.83448330943395</v>
      </c>
      <c r="Z94" s="92">
        <f t="shared" si="16"/>
        <v>84.33626459596186</v>
      </c>
      <c r="AB94" s="9">
        <f t="shared" si="17"/>
      </c>
      <c r="AC94" s="4"/>
      <c r="AD94" s="9">
        <f t="shared" si="18"/>
      </c>
      <c r="AE94" s="4"/>
      <c r="AF94" s="9">
        <f t="shared" si="19"/>
        <v>8.6295</v>
      </c>
      <c r="AG94" s="4"/>
    </row>
    <row r="95" spans="1:33" ht="15.75">
      <c r="A95" s="66" t="s">
        <v>111</v>
      </c>
      <c r="B95" s="87">
        <v>13.96</v>
      </c>
      <c r="C95" s="72">
        <f t="shared" si="0"/>
        <v>2.2615200000000004</v>
      </c>
      <c r="D95" s="72">
        <f t="shared" si="1"/>
        <v>0</v>
      </c>
      <c r="E95" s="88">
        <f t="shared" si="2"/>
        <v>1.2438360000000004</v>
      </c>
      <c r="F95" s="9">
        <f t="shared" si="3"/>
        <v>79.04012400000002</v>
      </c>
      <c r="G95" s="89">
        <f t="shared" si="4"/>
        <v>79.04044312560002</v>
      </c>
      <c r="H95" s="90"/>
      <c r="I95" s="91"/>
      <c r="J95" s="10">
        <v>230</v>
      </c>
      <c r="K95" s="13"/>
      <c r="L95" s="72">
        <f t="shared" si="5"/>
        <v>1.5896121181001281</v>
      </c>
      <c r="M95" s="72">
        <f t="shared" si="6"/>
        <v>0</v>
      </c>
      <c r="N95" s="88">
        <f t="shared" si="7"/>
        <v>0.882234725545571</v>
      </c>
      <c r="O95" s="9">
        <f t="shared" si="8"/>
        <v>61.54978121283696</v>
      </c>
      <c r="P95" s="89">
        <f t="shared" si="9"/>
        <v>62.063829390842955</v>
      </c>
      <c r="Q95" s="89">
        <f t="shared" si="10"/>
        <v>-17.49034278716306</v>
      </c>
      <c r="R95" s="92">
        <f t="shared" si="10"/>
        <v>-16.976613734757066</v>
      </c>
      <c r="T95" s="72">
        <f t="shared" si="11"/>
        <v>1.652021132075472</v>
      </c>
      <c r="U95" s="72">
        <f t="shared" si="12"/>
        <v>0</v>
      </c>
      <c r="V95" s="88">
        <f t="shared" si="13"/>
        <v>1.154762771320755</v>
      </c>
      <c r="W95" s="9">
        <f t="shared" si="14"/>
        <v>150.96169104905664</v>
      </c>
      <c r="X95" s="89">
        <f t="shared" si="15"/>
        <v>154.07768045890964</v>
      </c>
      <c r="Y95" s="89">
        <f t="shared" si="16"/>
        <v>71.92156704905662</v>
      </c>
      <c r="Z95" s="92">
        <f t="shared" si="16"/>
        <v>75.03723733330962</v>
      </c>
      <c r="AB95" s="9">
        <f t="shared" si="17"/>
      </c>
      <c r="AC95" s="4"/>
      <c r="AD95" s="9">
        <f t="shared" si="18"/>
      </c>
      <c r="AE95" s="4"/>
      <c r="AF95" s="9">
        <f t="shared" si="19"/>
        <v>3.2108000000000003</v>
      </c>
      <c r="AG95" s="4"/>
    </row>
    <row r="96" spans="1:33" ht="15.75">
      <c r="A96" s="102" t="s">
        <v>138</v>
      </c>
      <c r="B96" s="87">
        <v>16.14</v>
      </c>
      <c r="C96" s="72">
        <f t="shared" si="0"/>
        <v>2.6146800000000003</v>
      </c>
      <c r="D96" s="72">
        <f t="shared" si="1"/>
        <v>0</v>
      </c>
      <c r="E96" s="88">
        <f t="shared" si="2"/>
        <v>1.4380740000000003</v>
      </c>
      <c r="F96" s="9">
        <f t="shared" si="3"/>
        <v>91.38306600000001</v>
      </c>
      <c r="G96" s="89">
        <f t="shared" si="4"/>
        <v>91.38343496040001</v>
      </c>
      <c r="H96" s="90"/>
      <c r="I96" s="91"/>
      <c r="J96" s="10">
        <v>175</v>
      </c>
      <c r="K96" s="13"/>
      <c r="L96" s="72">
        <f t="shared" si="5"/>
        <v>1.8378466752246467</v>
      </c>
      <c r="M96" s="72">
        <f t="shared" si="6"/>
        <v>0</v>
      </c>
      <c r="N96" s="88">
        <f t="shared" si="7"/>
        <v>1.0200049047496789</v>
      </c>
      <c r="O96" s="9">
        <f t="shared" si="8"/>
        <v>71.16142326469831</v>
      </c>
      <c r="P96" s="89">
        <f t="shared" si="9"/>
        <v>71.7557454418485</v>
      </c>
      <c r="Q96" s="89">
        <f t="shared" si="10"/>
        <v>-20.2216427353017</v>
      </c>
      <c r="R96" s="92">
        <f t="shared" si="10"/>
        <v>-19.627689518551506</v>
      </c>
      <c r="T96" s="72">
        <f t="shared" si="11"/>
        <v>1.9100015094339626</v>
      </c>
      <c r="U96" s="72">
        <f t="shared" si="12"/>
        <v>0</v>
      </c>
      <c r="V96" s="88">
        <f t="shared" si="13"/>
        <v>1.33509105509434</v>
      </c>
      <c r="W96" s="9">
        <f t="shared" si="14"/>
        <v>174.53593793207548</v>
      </c>
      <c r="X96" s="89">
        <f t="shared" si="15"/>
        <v>178.13852167670495</v>
      </c>
      <c r="Y96" s="89">
        <f t="shared" si="16"/>
        <v>83.15287193207547</v>
      </c>
      <c r="Z96" s="92">
        <f t="shared" si="16"/>
        <v>86.75508671630494</v>
      </c>
      <c r="AB96" s="9">
        <f t="shared" si="17"/>
      </c>
      <c r="AC96" s="4"/>
      <c r="AD96" s="9">
        <f t="shared" si="18"/>
      </c>
      <c r="AE96" s="4"/>
      <c r="AF96" s="9">
        <f t="shared" si="19"/>
        <v>2.8245</v>
      </c>
      <c r="AG96" s="4"/>
    </row>
    <row r="97" spans="1:33" ht="15.75">
      <c r="A97" s="66" t="s">
        <v>139</v>
      </c>
      <c r="B97" s="87">
        <v>12.536</v>
      </c>
      <c r="C97" s="72">
        <f t="shared" si="0"/>
        <v>2.030832</v>
      </c>
      <c r="D97" s="72">
        <f t="shared" si="1"/>
        <v>0</v>
      </c>
      <c r="E97" s="88">
        <f t="shared" si="2"/>
        <v>1.1169576</v>
      </c>
      <c r="F97" s="9">
        <f t="shared" si="3"/>
        <v>70.97757840000001</v>
      </c>
      <c r="G97" s="89">
        <f t="shared" si="4"/>
        <v>70.97786497296</v>
      </c>
      <c r="H97" s="90"/>
      <c r="I97" s="91">
        <v>490</v>
      </c>
      <c r="J97" s="10"/>
      <c r="K97" s="13"/>
      <c r="L97" s="72">
        <f t="shared" si="5"/>
        <v>1.427462572528883</v>
      </c>
      <c r="M97" s="72">
        <f t="shared" si="6"/>
        <v>0</v>
      </c>
      <c r="N97" s="88">
        <f t="shared" si="7"/>
        <v>0.7922417277535301</v>
      </c>
      <c r="O97" s="9">
        <f t="shared" si="8"/>
        <v>55.271350808318346</v>
      </c>
      <c r="P97" s="89">
        <f t="shared" si="9"/>
        <v>55.73296312633289</v>
      </c>
      <c r="Q97" s="89">
        <f t="shared" si="10"/>
        <v>-15.706227591681667</v>
      </c>
      <c r="R97" s="92">
        <f t="shared" si="10"/>
        <v>-15.244901846627116</v>
      </c>
      <c r="T97" s="72">
        <f t="shared" si="11"/>
        <v>1.4835055094339624</v>
      </c>
      <c r="U97" s="72">
        <f t="shared" si="12"/>
        <v>0</v>
      </c>
      <c r="V97" s="88">
        <f t="shared" si="13"/>
        <v>1.0369703510943398</v>
      </c>
      <c r="W97" s="9">
        <f t="shared" si="14"/>
        <v>135.5627334520755</v>
      </c>
      <c r="X97" s="89">
        <f t="shared" si="15"/>
        <v>138.36087408545066</v>
      </c>
      <c r="Y97" s="89">
        <f t="shared" si="16"/>
        <v>64.58515505207548</v>
      </c>
      <c r="Z97" s="92">
        <f t="shared" si="16"/>
        <v>67.38300911249065</v>
      </c>
      <c r="AB97" s="9">
        <f t="shared" si="17"/>
      </c>
      <c r="AC97" s="4"/>
      <c r="AD97" s="9">
        <f t="shared" si="18"/>
        <v>6.142639999999999</v>
      </c>
      <c r="AE97" s="4"/>
      <c r="AF97" s="9">
        <f t="shared" si="19"/>
      </c>
      <c r="AG97" s="4"/>
    </row>
    <row r="98" spans="1:33" ht="15.75">
      <c r="A98" s="66" t="s">
        <v>114</v>
      </c>
      <c r="B98" s="87">
        <v>14.679</v>
      </c>
      <c r="C98" s="72">
        <f t="shared" si="0"/>
        <v>2.3779980000000003</v>
      </c>
      <c r="D98" s="72">
        <f t="shared" si="1"/>
        <v>0</v>
      </c>
      <c r="E98" s="88">
        <f t="shared" si="2"/>
        <v>1.3078989</v>
      </c>
      <c r="F98" s="9">
        <f t="shared" si="3"/>
        <v>83.11103010000002</v>
      </c>
      <c r="G98" s="89">
        <f t="shared" si="4"/>
        <v>83.11136566194003</v>
      </c>
      <c r="H98" s="90"/>
      <c r="I98" s="91">
        <v>350</v>
      </c>
      <c r="J98" s="10"/>
      <c r="K98" s="13"/>
      <c r="L98" s="72">
        <f t="shared" si="5"/>
        <v>1.6714839743260588</v>
      </c>
      <c r="M98" s="72">
        <f t="shared" si="6"/>
        <v>0</v>
      </c>
      <c r="N98" s="88">
        <f t="shared" si="7"/>
        <v>0.9276736057509626</v>
      </c>
      <c r="O98" s="9">
        <f t="shared" si="8"/>
        <v>64.71985948590499</v>
      </c>
      <c r="P98" s="89">
        <f t="shared" si="9"/>
        <v>65.26038335445442</v>
      </c>
      <c r="Q98" s="89">
        <f t="shared" si="10"/>
        <v>-18.39117061409503</v>
      </c>
      <c r="R98" s="92">
        <f t="shared" si="10"/>
        <v>-17.85098230748561</v>
      </c>
      <c r="T98" s="72">
        <f t="shared" si="11"/>
        <v>1.7371073207547172</v>
      </c>
      <c r="U98" s="72">
        <f t="shared" si="12"/>
        <v>0</v>
      </c>
      <c r="V98" s="88">
        <f t="shared" si="13"/>
        <v>1.2142380172075473</v>
      </c>
      <c r="W98" s="9">
        <f t="shared" si="14"/>
        <v>158.73686697056604</v>
      </c>
      <c r="X98" s="89">
        <f t="shared" si="15"/>
        <v>162.0133432275311</v>
      </c>
      <c r="Y98" s="89">
        <f t="shared" si="16"/>
        <v>75.62583687056602</v>
      </c>
      <c r="Z98" s="92">
        <f t="shared" si="16"/>
        <v>78.90197756559107</v>
      </c>
      <c r="AB98" s="9">
        <f t="shared" si="17"/>
      </c>
      <c r="AC98" s="4"/>
      <c r="AD98" s="9">
        <f t="shared" si="18"/>
        <v>5.137650000000001</v>
      </c>
      <c r="AE98" s="4"/>
      <c r="AF98" s="9">
        <f t="shared" si="19"/>
      </c>
      <c r="AG98" s="4"/>
    </row>
    <row r="99" spans="1:33" ht="15.75">
      <c r="A99" s="66" t="s">
        <v>115</v>
      </c>
      <c r="B99" s="87">
        <v>11.957</v>
      </c>
      <c r="C99" s="72">
        <f t="shared" si="0"/>
        <v>1.9370340000000001</v>
      </c>
      <c r="D99" s="72">
        <f t="shared" si="1"/>
        <v>0</v>
      </c>
      <c r="E99" s="88">
        <f t="shared" si="2"/>
        <v>1.0653687</v>
      </c>
      <c r="F99" s="9">
        <f t="shared" si="3"/>
        <v>67.69933830000001</v>
      </c>
      <c r="G99" s="89">
        <f t="shared" si="4"/>
        <v>67.69961163702001</v>
      </c>
      <c r="H99" s="90"/>
      <c r="I99" s="91"/>
      <c r="J99" s="10"/>
      <c r="K99" s="13"/>
      <c r="L99" s="72">
        <f t="shared" si="5"/>
        <v>1.3615323851091141</v>
      </c>
      <c r="M99" s="72">
        <f t="shared" si="6"/>
        <v>0</v>
      </c>
      <c r="N99" s="88">
        <f t="shared" si="7"/>
        <v>0.7556504737355583</v>
      </c>
      <c r="O99" s="9">
        <f t="shared" si="8"/>
        <v>52.718533951424895</v>
      </c>
      <c r="P99" s="89">
        <f t="shared" si="9"/>
        <v>53.158825789850226</v>
      </c>
      <c r="Q99" s="89">
        <f t="shared" si="10"/>
        <v>-14.980804348575113</v>
      </c>
      <c r="R99" s="92">
        <f t="shared" si="10"/>
        <v>-14.540785847169786</v>
      </c>
      <c r="T99" s="72">
        <f t="shared" si="11"/>
        <v>1.4149868679245285</v>
      </c>
      <c r="U99" s="72">
        <f t="shared" si="12"/>
        <v>0</v>
      </c>
      <c r="V99" s="88">
        <f t="shared" si="13"/>
        <v>0.9890758206792455</v>
      </c>
      <c r="W99" s="9">
        <f t="shared" si="14"/>
        <v>129.3014999909434</v>
      </c>
      <c r="X99" s="89">
        <f t="shared" si="15"/>
        <v>131.97040295466923</v>
      </c>
      <c r="Y99" s="89">
        <f t="shared" si="16"/>
        <v>61.60216169094339</v>
      </c>
      <c r="Z99" s="92">
        <f t="shared" si="16"/>
        <v>64.27079131764921</v>
      </c>
      <c r="AB99" s="9">
        <f t="shared" si="17"/>
      </c>
      <c r="AC99" s="4"/>
      <c r="AD99" s="9">
        <f t="shared" si="18"/>
      </c>
      <c r="AE99" s="4"/>
      <c r="AF99" s="9">
        <f t="shared" si="19"/>
      </c>
      <c r="AG99" s="4"/>
    </row>
    <row r="100" spans="1:33" ht="15.75">
      <c r="A100" s="66" t="s">
        <v>116</v>
      </c>
      <c r="B100" s="87">
        <v>14.249</v>
      </c>
      <c r="C100" s="72">
        <f t="shared" si="0"/>
        <v>2.308338</v>
      </c>
      <c r="D100" s="72">
        <f t="shared" si="1"/>
        <v>0</v>
      </c>
      <c r="E100" s="88">
        <f t="shared" si="2"/>
        <v>1.2695859</v>
      </c>
      <c r="F100" s="9">
        <f t="shared" si="3"/>
        <v>80.6764131</v>
      </c>
      <c r="G100" s="89">
        <f t="shared" si="4"/>
        <v>80.67673883214</v>
      </c>
      <c r="H100" s="90"/>
      <c r="I100" s="91"/>
      <c r="J100" s="10"/>
      <c r="K100" s="13"/>
      <c r="L100" s="72">
        <f t="shared" si="5"/>
        <v>1.622520277278562</v>
      </c>
      <c r="M100" s="72">
        <f t="shared" si="6"/>
        <v>0</v>
      </c>
      <c r="N100" s="88">
        <f t="shared" si="7"/>
        <v>0.9004987538896019</v>
      </c>
      <c r="O100" s="9">
        <f t="shared" si="8"/>
        <v>62.82398513622592</v>
      </c>
      <c r="P100" s="89">
        <f t="shared" si="9"/>
        <v>63.348675142558825</v>
      </c>
      <c r="Q100" s="89">
        <f t="shared" si="10"/>
        <v>-17.852427963774083</v>
      </c>
      <c r="R100" s="92">
        <f t="shared" si="10"/>
        <v>-17.328063689581178</v>
      </c>
      <c r="T100" s="72">
        <f t="shared" si="11"/>
        <v>1.686221283018868</v>
      </c>
      <c r="U100" s="72">
        <f t="shared" si="12"/>
        <v>0</v>
      </c>
      <c r="V100" s="88">
        <f t="shared" si="13"/>
        <v>1.178668676830189</v>
      </c>
      <c r="W100" s="9">
        <f t="shared" si="14"/>
        <v>154.08690084226416</v>
      </c>
      <c r="X100" s="89">
        <f t="shared" si="15"/>
        <v>157.2673974827366</v>
      </c>
      <c r="Y100" s="89">
        <f t="shared" si="16"/>
        <v>73.41048774226415</v>
      </c>
      <c r="Z100" s="92">
        <f t="shared" si="16"/>
        <v>76.59065865059661</v>
      </c>
      <c r="AB100" s="9">
        <f t="shared" si="17"/>
      </c>
      <c r="AC100" s="4"/>
      <c r="AD100" s="9">
        <f t="shared" si="18"/>
      </c>
      <c r="AE100" s="4"/>
      <c r="AF100" s="9">
        <f t="shared" si="19"/>
      </c>
      <c r="AG100" s="4"/>
    </row>
    <row r="101" spans="1:33" ht="15.75">
      <c r="A101" s="66" t="s">
        <v>141</v>
      </c>
      <c r="B101" s="87">
        <v>17.08</v>
      </c>
      <c r="C101" s="72">
        <f t="shared" si="0"/>
        <v>2.7669599999999996</v>
      </c>
      <c r="D101" s="72">
        <f t="shared" si="1"/>
        <v>0</v>
      </c>
      <c r="E101" s="88">
        <f t="shared" si="2"/>
        <v>1.521828</v>
      </c>
      <c r="F101" s="9">
        <f t="shared" si="3"/>
        <v>96.705252</v>
      </c>
      <c r="G101" s="89">
        <f t="shared" si="4"/>
        <v>96.7056424488</v>
      </c>
      <c r="H101" s="90"/>
      <c r="I101" s="91"/>
      <c r="J101" s="10"/>
      <c r="K101" s="13"/>
      <c r="L101" s="72">
        <f t="shared" si="5"/>
        <v>1.9448835943517324</v>
      </c>
      <c r="M101" s="72">
        <f t="shared" si="6"/>
        <v>0</v>
      </c>
      <c r="N101" s="88">
        <f t="shared" si="7"/>
        <v>1.0794103948652114</v>
      </c>
      <c r="O101" s="9">
        <f t="shared" si="8"/>
        <v>75.30589277329908</v>
      </c>
      <c r="P101" s="89">
        <f t="shared" si="9"/>
        <v>75.93482850971328</v>
      </c>
      <c r="Q101" s="89">
        <f t="shared" si="10"/>
        <v>-21.399359226700923</v>
      </c>
      <c r="R101" s="92">
        <f t="shared" si="10"/>
        <v>-20.77081393908672</v>
      </c>
      <c r="T101" s="72">
        <f t="shared" si="11"/>
        <v>2.021240754716981</v>
      </c>
      <c r="U101" s="72">
        <f t="shared" si="12"/>
        <v>0</v>
      </c>
      <c r="V101" s="88">
        <f t="shared" si="13"/>
        <v>1.4128472875471698</v>
      </c>
      <c r="W101" s="9">
        <f t="shared" si="14"/>
        <v>184.7009801660377</v>
      </c>
      <c r="X101" s="89">
        <f t="shared" si="15"/>
        <v>188.51337981648823</v>
      </c>
      <c r="Y101" s="89">
        <f t="shared" si="16"/>
        <v>87.99572816603771</v>
      </c>
      <c r="Z101" s="92">
        <f t="shared" si="16"/>
        <v>91.80773736768822</v>
      </c>
      <c r="AB101" s="9">
        <f t="shared" si="17"/>
      </c>
      <c r="AC101" s="4"/>
      <c r="AD101" s="9">
        <f t="shared" si="18"/>
      </c>
      <c r="AE101" s="4"/>
      <c r="AF101" s="9">
        <f t="shared" si="19"/>
      </c>
      <c r="AG101" s="4"/>
    </row>
    <row r="102" spans="1:33" ht="15.75">
      <c r="A102" s="66" t="s">
        <v>142</v>
      </c>
      <c r="B102" s="87">
        <v>18.14</v>
      </c>
      <c r="C102" s="72">
        <f t="shared" si="0"/>
        <v>2.93868</v>
      </c>
      <c r="D102" s="72">
        <f t="shared" si="1"/>
        <v>0</v>
      </c>
      <c r="E102" s="88">
        <f t="shared" si="2"/>
        <v>1.6162740000000002</v>
      </c>
      <c r="F102" s="9">
        <f t="shared" si="3"/>
        <v>102.70686600000002</v>
      </c>
      <c r="G102" s="89">
        <f t="shared" si="4"/>
        <v>102.70728068040002</v>
      </c>
      <c r="H102" s="90"/>
      <c r="I102" s="91"/>
      <c r="J102" s="10"/>
      <c r="K102" s="13"/>
      <c r="L102" s="72">
        <f t="shared" si="5"/>
        <v>2.0655848010269575</v>
      </c>
      <c r="M102" s="72">
        <f t="shared" si="6"/>
        <v>0</v>
      </c>
      <c r="N102" s="88">
        <f t="shared" si="7"/>
        <v>1.1463995645699614</v>
      </c>
      <c r="O102" s="9">
        <f t="shared" si="8"/>
        <v>79.97944349576379</v>
      </c>
      <c r="P102" s="89">
        <f t="shared" si="9"/>
        <v>80.64741154368848</v>
      </c>
      <c r="Q102" s="89">
        <f t="shared" si="10"/>
        <v>-22.72742250423623</v>
      </c>
      <c r="R102" s="92">
        <f t="shared" si="10"/>
        <v>-22.05986913671154</v>
      </c>
      <c r="T102" s="72">
        <f t="shared" si="11"/>
        <v>2.1466807547169813</v>
      </c>
      <c r="U102" s="72">
        <f t="shared" si="12"/>
        <v>0</v>
      </c>
      <c r="V102" s="88">
        <f t="shared" si="13"/>
        <v>1.5005298475471702</v>
      </c>
      <c r="W102" s="9">
        <f t="shared" si="14"/>
        <v>196.16368736603775</v>
      </c>
      <c r="X102" s="89">
        <f t="shared" si="15"/>
        <v>200.21268793156307</v>
      </c>
      <c r="Y102" s="89">
        <f t="shared" si="16"/>
        <v>93.45682136603773</v>
      </c>
      <c r="Z102" s="92">
        <f t="shared" si="16"/>
        <v>97.50540725116305</v>
      </c>
      <c r="AB102" s="9">
        <f t="shared" si="17"/>
      </c>
      <c r="AC102" s="4"/>
      <c r="AD102" s="9">
        <f t="shared" si="18"/>
      </c>
      <c r="AE102" s="4"/>
      <c r="AF102" s="9">
        <f t="shared" si="19"/>
      </c>
      <c r="AG102" s="4"/>
    </row>
    <row r="103" spans="1:33" ht="15.75">
      <c r="A103" s="66" t="s">
        <v>119</v>
      </c>
      <c r="B103" s="87">
        <v>17.27</v>
      </c>
      <c r="C103" s="72">
        <f>$G$80*$B103/G$79</f>
        <v>2.79774</v>
      </c>
      <c r="D103" s="72">
        <f>$G$81*$B103/G$79</f>
        <v>0</v>
      </c>
      <c r="E103" s="88">
        <f>IF(H$9="S",C103*(100-H$14)/100+D103*(100-H$22)/100,(C103*H$15+D103*H$23)/100)</f>
        <v>1.538757</v>
      </c>
      <c r="F103" s="9">
        <f>IF(H$8="M",C103*H$18,(C103*H$18)+(D103*H$71))</f>
        <v>97.78101300000002</v>
      </c>
      <c r="G103" s="89">
        <f>IF(H$64=0,F103,F103+C103/H$13*H$75)</f>
        <v>97.78140779220001</v>
      </c>
      <c r="H103" s="90"/>
      <c r="I103" s="91"/>
      <c r="J103" s="10"/>
      <c r="K103" s="13"/>
      <c r="L103" s="72">
        <f>$P$80*$B103/P$79</f>
        <v>1.966518716302952</v>
      </c>
      <c r="M103" s="72">
        <f>$P$81*$B103/P$79</f>
        <v>0</v>
      </c>
      <c r="N103" s="88">
        <f>IF(Q$9="S",L103*(100-Q$14)/100+M103*(100-Q$22)/100,(L103*Q$15+M103*Q$23)/100)</f>
        <v>1.0914178875481384</v>
      </c>
      <c r="O103" s="9">
        <f>IF(Q$8="M",L103*Q$18,(L103*Q$18)+(M103*Q$71))</f>
        <v>76.1436046952503</v>
      </c>
      <c r="P103" s="89">
        <f>IF(Q$64=0,O103,O103+L103/Q$13*Q$75)</f>
        <v>76.77953678938809</v>
      </c>
      <c r="Q103" s="89">
        <f aca="true" t="shared" si="20" ref="Q103:R105">O103-F103</f>
        <v>-21.637408304749712</v>
      </c>
      <c r="R103" s="92">
        <f t="shared" si="20"/>
        <v>-21.001871002811924</v>
      </c>
      <c r="T103" s="72">
        <f>$X$80*$B103/X$79</f>
        <v>2.043725283018868</v>
      </c>
      <c r="U103" s="72">
        <f>$X$81*$B103/X$79</f>
        <v>0</v>
      </c>
      <c r="V103" s="88">
        <f>IF(Y$9="S",T103*(100-Y$14)/100+U103*(100-Y$22)/100,(T103*Y$15+U103*Y$23)/100)</f>
        <v>1.428563972830189</v>
      </c>
      <c r="W103" s="9">
        <f>IF(Y$8="M",T103*Y$18,(T103*Y$18)+(U103*Y$71))</f>
        <v>186.75561636226416</v>
      </c>
      <c r="X103" s="89">
        <f>IF(Y$64=0,W103,W103+T103/Y$13*Y$75)</f>
        <v>190.6104256106998</v>
      </c>
      <c r="Y103" s="89">
        <f aca="true" t="shared" si="21" ref="Y103:Z105">W103-F103</f>
        <v>88.97460336226415</v>
      </c>
      <c r="Z103" s="92">
        <f t="shared" si="21"/>
        <v>92.82901781849978</v>
      </c>
      <c r="AB103" s="9">
        <f>IF(H103=0,"",H103*B103/1000)</f>
      </c>
      <c r="AC103" s="4"/>
      <c r="AD103" s="9">
        <f>IF(I103=0,"",I103*B103/1000)</f>
      </c>
      <c r="AE103" s="4"/>
      <c r="AF103" s="9">
        <f>IF(J103=0,"",J103*B103/1000)</f>
      </c>
      <c r="AG103" s="4"/>
    </row>
    <row r="104" spans="1:33" ht="15.75">
      <c r="A104" s="66" t="s">
        <v>120</v>
      </c>
      <c r="B104" s="87">
        <v>15.605</v>
      </c>
      <c r="C104" s="72">
        <f>$G$80*$B104/G$79</f>
        <v>2.52801</v>
      </c>
      <c r="D104" s="72">
        <f>$G$81*$B104/G$79</f>
        <v>0</v>
      </c>
      <c r="E104" s="88">
        <f>IF(H$9="S",C104*(100-H$14)/100+D104*(100-H$22)/100,(C104*H$15+D104*H$23)/100)</f>
        <v>1.3904055</v>
      </c>
      <c r="F104" s="9">
        <f>IF(H$8="M",C104*H$18,(C104*H$18)+(D104*H$71))</f>
        <v>88.35394950000001</v>
      </c>
      <c r="G104" s="89">
        <f>IF(H$64=0,F104,F104+C104/H$13*H$75)</f>
        <v>88.35430623030001</v>
      </c>
      <c r="H104" s="90"/>
      <c r="I104" s="91"/>
      <c r="J104" s="10"/>
      <c r="K104" s="13"/>
      <c r="L104" s="72">
        <f>$P$80*$B104/P$79</f>
        <v>1.7769267265725286</v>
      </c>
      <c r="M104" s="72">
        <f>$P$81*$B104/P$79</f>
        <v>0</v>
      </c>
      <c r="N104" s="88">
        <f>IF(Q$9="S",L104*(100-Q$14)/100+M104*(100-Q$22)/100,(L104*Q$15+M104*Q$23)/100)</f>
        <v>0.9861943332477534</v>
      </c>
      <c r="O104" s="9">
        <f>IF(Q$8="M",L104*Q$18,(L104*Q$18)+(M104*Q$71))</f>
        <v>68.8026028528883</v>
      </c>
      <c r="P104" s="89">
        <f>IF(Q$64=0,O104,O104+L104/Q$13*Q$75)</f>
        <v>69.3772247596063</v>
      </c>
      <c r="Q104" s="89">
        <f t="shared" si="20"/>
        <v>-19.551346647111714</v>
      </c>
      <c r="R104" s="92">
        <f t="shared" si="20"/>
        <v>-18.977081470693705</v>
      </c>
      <c r="T104" s="72">
        <f>$X$80*$B104/X$79</f>
        <v>1.846689811320755</v>
      </c>
      <c r="U104" s="72">
        <f>$X$81*$B104/X$79</f>
        <v>0</v>
      </c>
      <c r="V104" s="88">
        <f>IF(Y$9="S",T104*(100-Y$14)/100+U104*(100-Y$22)/100,(T104*Y$15+U104*Y$23)/100)</f>
        <v>1.2908361781132078</v>
      </c>
      <c r="W104" s="9">
        <f>IF(Y$8="M",T104*Y$18,(T104*Y$18)+(U104*Y$71))</f>
        <v>168.75051495849058</v>
      </c>
      <c r="X104" s="89">
        <f>IF(Y$64=0,W104,W104+T104/Y$13*Y$75)</f>
        <v>172.23368220353044</v>
      </c>
      <c r="Y104" s="89">
        <f t="shared" si="21"/>
        <v>80.39656545849057</v>
      </c>
      <c r="Z104" s="92">
        <f t="shared" si="21"/>
        <v>83.87937597323042</v>
      </c>
      <c r="AB104" s="9">
        <f>IF(H104=0,"",H104*B104/1000)</f>
      </c>
      <c r="AC104" s="4"/>
      <c r="AD104" s="9">
        <f>IF(I104=0,"",I104*B104/1000)</f>
      </c>
      <c r="AE104" s="4"/>
      <c r="AF104" s="9">
        <f>IF(J104=0,"",J104*B104/1000)</f>
      </c>
      <c r="AG104" s="4"/>
    </row>
    <row r="105" spans="1:33" ht="15.75">
      <c r="A105" s="66" t="s">
        <v>121</v>
      </c>
      <c r="B105" s="87">
        <v>21.111</v>
      </c>
      <c r="C105" s="72">
        <f>$G$80*$B105/G$79</f>
        <v>3.419982</v>
      </c>
      <c r="D105" s="72">
        <f>$G$81*$B105/G$79</f>
        <v>0</v>
      </c>
      <c r="E105" s="88">
        <f>IF(H$9="S",C105*(100-H$14)/100+D105*(100-H$22)/100,(C105*H$15+D105*H$23)/100)</f>
        <v>1.8809901</v>
      </c>
      <c r="F105" s="9">
        <f>IF(H$8="M",C105*H$18,(C105*H$18)+(D105*H$71))</f>
        <v>119.52837090000001</v>
      </c>
      <c r="G105" s="89">
        <f>IF(H$64=0,F105,F105+C105/H$13*H$75)</f>
        <v>119.52885349746002</v>
      </c>
      <c r="H105" s="90"/>
      <c r="I105" s="91"/>
      <c r="J105" s="10"/>
      <c r="K105" s="13"/>
      <c r="L105" s="72">
        <f>$P$80*$B105/P$79</f>
        <v>2.40388978690629</v>
      </c>
      <c r="M105" s="72">
        <f>$P$81*$B105/P$79</f>
        <v>0</v>
      </c>
      <c r="N105" s="88">
        <f>IF(Q$9="S",L105*(100-Q$14)/100+M105*(100-Q$22)/100,(L105*Q$15+M105*Q$23)/100)</f>
        <v>1.3341588317329909</v>
      </c>
      <c r="O105" s="9">
        <f>IF(Q$8="M",L105*Q$18,(L105*Q$18)+(M105*Q$71))</f>
        <v>93.07861254901154</v>
      </c>
      <c r="P105" s="89">
        <f>IF(Q$64=0,O105,O105+L105/Q$13*Q$75)</f>
        <v>93.85598153797174</v>
      </c>
      <c r="Q105" s="89">
        <f t="shared" si="20"/>
        <v>-26.449758350988475</v>
      </c>
      <c r="R105" s="92">
        <f t="shared" si="20"/>
        <v>-25.672871959488276</v>
      </c>
      <c r="T105" s="72">
        <f>$X$80*$B105/X$79</f>
        <v>2.498267773584906</v>
      </c>
      <c r="U105" s="72">
        <f>$X$81*$B105/X$79</f>
        <v>0</v>
      </c>
      <c r="V105" s="88">
        <f>IF(Y$9="S",T105*(100-Y$14)/100+U105*(100-Y$22)/100,(T105*Y$15+U105*Y$23)/100)</f>
        <v>1.7462891737358495</v>
      </c>
      <c r="W105" s="9">
        <f>IF(Y$8="M",T105*Y$18,(T105*Y$18)+(U105*Y$71))</f>
        <v>228.29170915018872</v>
      </c>
      <c r="X105" s="89">
        <f>IF(Y$64=0,W105,W105+T105/Y$13*Y$75)</f>
        <v>233.00386190315484</v>
      </c>
      <c r="Y105" s="89">
        <f t="shared" si="21"/>
        <v>108.76333825018871</v>
      </c>
      <c r="Z105" s="92">
        <f t="shared" si="21"/>
        <v>113.47500840569482</v>
      </c>
      <c r="AB105" s="9">
        <f>IF(H105=0,"",H105*B105/1000)</f>
      </c>
      <c r="AC105" s="4"/>
      <c r="AD105" s="9">
        <f>IF(I105=0,"",I105*B105/1000)</f>
      </c>
      <c r="AE105" s="4"/>
      <c r="AF105" s="9">
        <f>IF(J105=0,"",J105*B105/1000)</f>
      </c>
      <c r="AG105" s="4"/>
    </row>
    <row r="106" spans="1:32" ht="15.75">
      <c r="A106" s="64"/>
      <c r="B106" s="64"/>
      <c r="C106" s="17"/>
      <c r="D106" s="17"/>
      <c r="E106" s="20"/>
      <c r="F106" s="18"/>
      <c r="G106" s="93" t="s">
        <v>122</v>
      </c>
      <c r="H106" s="94">
        <f>SUM(H87:H105)</f>
        <v>1404</v>
      </c>
      <c r="I106" s="95">
        <f>SUM(I87:I105)</f>
        <v>1500</v>
      </c>
      <c r="J106" s="96">
        <f>SUM(J87:J105)</f>
        <v>955</v>
      </c>
      <c r="K106" s="21"/>
      <c r="L106" s="17"/>
      <c r="M106" s="17"/>
      <c r="N106" s="20"/>
      <c r="O106" s="97"/>
      <c r="P106" s="98"/>
      <c r="Q106" s="98"/>
      <c r="R106" s="99"/>
      <c r="T106" s="17"/>
      <c r="U106" s="17"/>
      <c r="V106" s="100"/>
      <c r="W106" s="97"/>
      <c r="X106" s="98"/>
      <c r="Y106" s="98"/>
      <c r="Z106" s="99"/>
      <c r="AB106" s="5">
        <f>SUM(AB87:AB105)*1000/H106</f>
        <v>17.845710826210826</v>
      </c>
      <c r="AD106" s="5">
        <f>SUM(AD87:AD105)*1000/I106</f>
        <v>13.380116000000001</v>
      </c>
      <c r="AF106" s="5">
        <f>SUM(AF87:AF105)*1000/J106</f>
        <v>15.355811518324609</v>
      </c>
    </row>
    <row r="107" spans="1:26" ht="15.75">
      <c r="A107" s="62" t="str">
        <f>H85</f>
        <v>Sochaux</v>
      </c>
      <c r="B107" s="72">
        <f>AB106</f>
        <v>17.845710826210826</v>
      </c>
      <c r="C107" s="72">
        <f>$G$80*$B107/G$79</f>
        <v>2.891005153846154</v>
      </c>
      <c r="D107" s="72">
        <f>$G$81*$B107/G$79</f>
        <v>0</v>
      </c>
      <c r="E107" s="88">
        <f>IF(H$9="S",C107*(100-H$14)/100+D107*(100-H$22)/100,(C107*H$15+D107*H$23)/100)</f>
        <v>1.5900528346153846</v>
      </c>
      <c r="F107" s="9">
        <f>IF(H$8="M",C107*H$18,(C107*H$18)+(D107*H$71))</f>
        <v>101.04063012692309</v>
      </c>
      <c r="G107" s="89">
        <f>IF(H$64=0,F107,F107+C107/H$13*H$75)</f>
        <v>101.04103807987258</v>
      </c>
      <c r="H107" s="89"/>
      <c r="I107" s="92"/>
      <c r="J107" s="9"/>
      <c r="K107" s="13"/>
      <c r="L107" s="72">
        <f>$P$80*$B107/P$79</f>
        <v>2.032074368585629</v>
      </c>
      <c r="M107" s="72">
        <f>$P$81*$B107/P$79</f>
        <v>0</v>
      </c>
      <c r="N107" s="88">
        <f>IF(Q$9="S",L107*(100-Q$14)/100+M107*(100-Q$22)/100,(L107*Q$15+M107*Q$23)/100)</f>
        <v>1.1278012745650239</v>
      </c>
      <c r="O107" s="9">
        <f>IF(Q$8="M",L107*Q$18,(L107*Q$18)+(M107*Q$71))</f>
        <v>78.68191955163554</v>
      </c>
      <c r="P107" s="89">
        <f>IF(Q$64=0,O107,O107+L107/Q$13*Q$75)</f>
        <v>79.33905100832862</v>
      </c>
      <c r="Q107" s="89">
        <f aca="true" t="shared" si="22" ref="Q107:R109">O107-F107</f>
        <v>-22.358710575287546</v>
      </c>
      <c r="R107" s="92">
        <f t="shared" si="22"/>
        <v>-21.701987071543954</v>
      </c>
      <c r="T107" s="72">
        <f>$X$80*$B107/X$79</f>
        <v>2.111854684943289</v>
      </c>
      <c r="U107" s="72">
        <f>$X$81*$B107/X$79</f>
        <v>0</v>
      </c>
      <c r="V107" s="88">
        <f>IF(Y$9="S",T107*(100-Y$14)/100+U107*(100-Y$22)/100,(T107*Y$15+U107*Y$23)/100)</f>
        <v>1.476186424775359</v>
      </c>
      <c r="W107" s="9">
        <f>IF(Y$8="M",T107*Y$18,(T107*Y$18)+(U107*Y$71))</f>
        <v>192.98128111011772</v>
      </c>
      <c r="X107" s="89">
        <f>IF(Y$64=0,W107,W107+T107/Y$13*Y$75)</f>
        <v>196.96459385694953</v>
      </c>
      <c r="Y107" s="89">
        <f aca="true" t="shared" si="23" ref="Y107:Z109">W107-F107</f>
        <v>91.94065098319463</v>
      </c>
      <c r="Z107" s="92">
        <f t="shared" si="23"/>
        <v>95.92355577707696</v>
      </c>
    </row>
    <row r="108" spans="1:26" ht="15.75">
      <c r="A108" s="62" t="str">
        <f>I85</f>
        <v>Mulh.</v>
      </c>
      <c r="B108" s="72">
        <f>AD106</f>
        <v>13.380116000000001</v>
      </c>
      <c r="C108" s="72">
        <f>$G$80*$B108/G$79</f>
        <v>2.167578792</v>
      </c>
      <c r="D108" s="72">
        <f>$G$81*$B108/G$79</f>
        <v>0</v>
      </c>
      <c r="E108" s="88">
        <f>IF(H$9="S",C108*(100-H$14)/100+D108*(100-H$22)/100,(C108*H$15+D108*H$23)/100)</f>
        <v>1.1921683356</v>
      </c>
      <c r="F108" s="9">
        <f>IF(H$8="M",C108*H$18,(C108*H$18)+(D108*H$71))</f>
        <v>75.7568787804</v>
      </c>
      <c r="G108" s="89">
        <f>IF(H$64=0,F108,F108+C108/H$13*H$75)</f>
        <v>75.75718464985177</v>
      </c>
      <c r="H108" s="89"/>
      <c r="I108" s="92"/>
      <c r="J108" s="9"/>
      <c r="K108" s="13"/>
      <c r="L108" s="72">
        <f>$P$80*$B108/P$79</f>
        <v>1.5235812704287548</v>
      </c>
      <c r="M108" s="72">
        <f>$P$81*$B108/P$79</f>
        <v>0</v>
      </c>
      <c r="N108" s="88">
        <f>IF(Q$9="S",L108*(100-Q$14)/100+M108*(100-Q$22)/100,(L108*Q$15+M108*Q$23)/100)</f>
        <v>0.8455876050879588</v>
      </c>
      <c r="O108" s="9">
        <f>IF(Q$8="M",L108*Q$18,(L108*Q$18)+(M108*Q$71))</f>
        <v>58.99306679100138</v>
      </c>
      <c r="P108" s="89">
        <f>IF(Q$64=0,O108,O108+L108/Q$13*Q$75)</f>
        <v>59.48576193794327</v>
      </c>
      <c r="Q108" s="89">
        <f t="shared" si="22"/>
        <v>-16.76381198939862</v>
      </c>
      <c r="R108" s="92">
        <f t="shared" si="22"/>
        <v>-16.271422711908492</v>
      </c>
      <c r="T108" s="72">
        <f>$X$80*$B108/X$79</f>
        <v>1.583397878339623</v>
      </c>
      <c r="U108" s="72">
        <f>$X$81*$B108/X$79</f>
        <v>0</v>
      </c>
      <c r="V108" s="88">
        <f>IF(Y$9="S",T108*(100-Y$14)/100+U108*(100-Y$22)/100,(T108*Y$15+U108*Y$23)/100)</f>
        <v>1.1067951169593966</v>
      </c>
      <c r="W108" s="9">
        <f>IF(Y$8="M",T108*Y$18,(T108*Y$18)+(U108*Y$71))</f>
        <v>144.69089812267475</v>
      </c>
      <c r="X108" s="89">
        <f>IF(Y$64=0,W108,W108+T108/Y$13*Y$75)</f>
        <v>147.67745254664356</v>
      </c>
      <c r="Y108" s="89">
        <f t="shared" si="23"/>
        <v>68.93401934227475</v>
      </c>
      <c r="Z108" s="92">
        <f t="shared" si="23"/>
        <v>71.9202678967918</v>
      </c>
    </row>
    <row r="109" spans="1:26" ht="15.75">
      <c r="A109" s="62" t="str">
        <f>J85</f>
        <v>Poissy</v>
      </c>
      <c r="B109" s="72">
        <f>AF106</f>
        <v>15.355811518324609</v>
      </c>
      <c r="C109" s="72">
        <f>$G$80*$B109/G$79</f>
        <v>2.487641465968587</v>
      </c>
      <c r="D109" s="72">
        <f>$G$81*$B109/G$79</f>
        <v>0</v>
      </c>
      <c r="E109" s="88">
        <f>IF(H$9="S",C109*(100-H$14)/100+D109*(100-H$22)/100,(C109*H$15+D109*H$23)/100)</f>
        <v>1.368202806282723</v>
      </c>
      <c r="F109" s="9">
        <f>IF(H$8="M",C109*H$18,(C109*H$18)+(D109*H$71))</f>
        <v>86.94306923560211</v>
      </c>
      <c r="G109" s="89">
        <f>IF(H$64=0,F109,F109+C109/H$13*H$75)</f>
        <v>86.94342026945341</v>
      </c>
      <c r="H109" s="89"/>
      <c r="I109" s="92"/>
      <c r="J109" s="9"/>
      <c r="K109" s="13"/>
      <c r="L109" s="72">
        <f>$P$80*$B109/P$79</f>
        <v>1.7485518676783902</v>
      </c>
      <c r="M109" s="72">
        <f>$P$81*$B109/P$79</f>
        <v>0</v>
      </c>
      <c r="N109" s="88">
        <f>IF(Q$9="S",L109*(100-Q$14)/100+M109*(100-Q$22)/100,(L109*Q$15+M109*Q$23)/100)</f>
        <v>0.9704462865615067</v>
      </c>
      <c r="O109" s="9">
        <f>IF(Q$8="M",L109*Q$18,(L109*Q$18)+(M109*Q$71))</f>
        <v>67.70392831650727</v>
      </c>
      <c r="P109" s="89">
        <f>IF(Q$64=0,O109,O109+L109/Q$13*Q$75)</f>
        <v>68.26937437186531</v>
      </c>
      <c r="Q109" s="89">
        <f t="shared" si="22"/>
        <v>-19.239140919094837</v>
      </c>
      <c r="R109" s="92">
        <f t="shared" si="22"/>
        <v>-18.6740458975881</v>
      </c>
      <c r="T109" s="72">
        <f>$X$80*$B109/X$79</f>
        <v>1.8172009404326785</v>
      </c>
      <c r="U109" s="72">
        <f>$X$81*$B109/X$79</f>
        <v>0</v>
      </c>
      <c r="V109" s="88">
        <f>IF(Y$9="S",T109*(100-Y$14)/100+U109*(100-Y$22)/100,(T109*Y$15+U109*Y$23)/100)</f>
        <v>1.2702234573624425</v>
      </c>
      <c r="W109" s="9">
        <f>IF(Y$8="M",T109*Y$18,(T109*Y$18)+(U109*Y$71))</f>
        <v>166.05582193673817</v>
      </c>
      <c r="X109" s="89">
        <f>IF(Y$64=0,W109,W109+T109/Y$13*Y$75)</f>
        <v>169.48336821688133</v>
      </c>
      <c r="Y109" s="89">
        <f t="shared" si="23"/>
        <v>79.11275270113606</v>
      </c>
      <c r="Z109" s="92">
        <f t="shared" si="23"/>
        <v>82.53994794742792</v>
      </c>
    </row>
    <row r="110" spans="1:26" ht="15.75">
      <c r="A110" s="54" t="str">
        <f>A6</f>
        <v>VERNIS</v>
      </c>
      <c r="B110" s="15"/>
      <c r="C110" s="15"/>
      <c r="D110" s="15"/>
      <c r="E110" s="15"/>
      <c r="F110" s="15"/>
      <c r="G110" s="101" t="str">
        <f>G5</f>
        <v>MONO</v>
      </c>
      <c r="H110" s="15"/>
      <c r="I110" s="15"/>
      <c r="J110" s="15"/>
      <c r="K110" s="15"/>
      <c r="L110" s="15"/>
      <c r="M110" s="15"/>
      <c r="N110" s="15"/>
      <c r="O110" s="15"/>
      <c r="P110" s="101" t="str">
        <f>P5</f>
        <v>MONO</v>
      </c>
      <c r="Q110" s="15"/>
      <c r="R110" s="15"/>
      <c r="S110" s="15"/>
      <c r="T110" s="15"/>
      <c r="U110" s="15"/>
      <c r="V110" s="15"/>
      <c r="W110" s="15"/>
      <c r="X110" s="101" t="str">
        <f>X5</f>
        <v>bicomp</v>
      </c>
      <c r="Y110" s="15"/>
      <c r="Z110" s="15"/>
    </row>
  </sheetData>
  <printOptions/>
  <pageMargins left="0.197" right="0.197" top="0.591" bottom="0.197" header="0.4921259845" footer="0.4921259845"/>
  <pageSetup fitToHeight="0" fitToWidth="1" horizontalDpi="300" verticalDpi="300" orientation="landscape" paperSize="9" scale="59" r:id="rId1"/>
  <headerFooter alignWithMargins="0">
    <oddHeader>&amp;C&amp;R Page &amp;P</oddHeader>
  </headerFooter>
  <rowBreaks count="1" manualBreakCount="1">
    <brk id="53" max="6553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10"/>
  <sheetViews>
    <sheetView tabSelected="1" zoomScale="75" zoomScaleNormal="75" workbookViewId="0" topLeftCell="A70">
      <selection activeCell="A3" sqref="A3"/>
    </sheetView>
  </sheetViews>
  <sheetFormatPr defaultColWidth="9.77734375" defaultRowHeight="15.75"/>
  <cols>
    <col min="1" max="1" width="9.77734375" style="0" customWidth="1"/>
    <col min="2" max="9" width="7.77734375" style="0" customWidth="1"/>
    <col min="10" max="10" width="5.77734375" style="0" customWidth="1"/>
    <col min="11" max="11" width="2.77734375" style="0" customWidth="1"/>
    <col min="12" max="18" width="7.77734375" style="0" customWidth="1"/>
    <col min="19" max="19" width="2.77734375" style="0" customWidth="1"/>
    <col min="20" max="26" width="7.77734375" style="0" customWidth="1"/>
    <col min="27" max="33" width="8.77734375" style="0" customWidth="1"/>
  </cols>
  <sheetData>
    <row r="1" ht="15.75">
      <c r="A1" s="35" t="s">
        <v>0</v>
      </c>
    </row>
    <row r="2" spans="1:13" ht="19.5">
      <c r="A2" s="2">
        <f ca="1">TRUNC(NOW())</f>
        <v>42721</v>
      </c>
      <c r="B2" s="1" t="s">
        <v>1</v>
      </c>
      <c r="G2" s="34"/>
      <c r="M2" s="36" t="s">
        <v>2</v>
      </c>
    </row>
    <row r="3" spans="1:2" ht="15.75">
      <c r="A3" s="103" t="s">
        <v>389</v>
      </c>
      <c r="B3" s="1" t="s">
        <v>3</v>
      </c>
    </row>
    <row r="5" spans="1:256" ht="15.75">
      <c r="A5" s="37"/>
      <c r="B5" s="38"/>
      <c r="C5" s="39" t="s">
        <v>4</v>
      </c>
      <c r="D5" s="40"/>
      <c r="E5" s="40"/>
      <c r="F5" s="40"/>
      <c r="G5" s="41" t="s">
        <v>144</v>
      </c>
      <c r="H5" s="40"/>
      <c r="I5" s="38"/>
      <c r="J5" s="42"/>
      <c r="K5" s="42"/>
      <c r="L5" s="41" t="s">
        <v>4</v>
      </c>
      <c r="M5" s="40"/>
      <c r="N5" s="40"/>
      <c r="O5" s="40"/>
      <c r="P5" s="41" t="s">
        <v>144</v>
      </c>
      <c r="Q5" s="40"/>
      <c r="R5" s="38"/>
      <c r="S5" s="42"/>
      <c r="T5" s="41" t="s">
        <v>4</v>
      </c>
      <c r="U5" s="40"/>
      <c r="V5" s="40"/>
      <c r="W5" s="40"/>
      <c r="X5" s="41" t="s">
        <v>145</v>
      </c>
      <c r="Y5" s="40"/>
      <c r="Z5" s="3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6" ht="20.25" thickBot="1">
      <c r="A6" s="43" t="s">
        <v>151</v>
      </c>
      <c r="B6" s="44"/>
      <c r="C6" s="35" t="s">
        <v>7</v>
      </c>
      <c r="D6" s="24"/>
      <c r="E6" s="24"/>
      <c r="F6" s="24"/>
      <c r="G6" s="45" t="s">
        <v>9</v>
      </c>
      <c r="H6" s="42"/>
      <c r="I6" s="44"/>
      <c r="J6" s="46"/>
      <c r="K6" s="24"/>
      <c r="L6" s="47" t="s">
        <v>7</v>
      </c>
      <c r="M6" s="24"/>
      <c r="N6" s="24"/>
      <c r="O6" s="24"/>
      <c r="P6" s="45" t="s">
        <v>8</v>
      </c>
      <c r="Q6" s="42"/>
      <c r="R6" s="44"/>
      <c r="S6" s="24"/>
      <c r="T6" s="47" t="s">
        <v>7</v>
      </c>
      <c r="U6" s="24"/>
      <c r="V6" s="24"/>
      <c r="W6" s="24"/>
      <c r="X6" s="45" t="s">
        <v>8</v>
      </c>
      <c r="Y6" s="42"/>
      <c r="Z6" s="28"/>
    </row>
    <row r="7" spans="1:26" ht="15.75">
      <c r="A7" s="48"/>
      <c r="B7" s="49"/>
      <c r="C7" s="50" t="s">
        <v>10</v>
      </c>
      <c r="D7" s="26"/>
      <c r="E7" s="26"/>
      <c r="F7" s="26"/>
      <c r="G7" s="51" t="s">
        <v>147</v>
      </c>
      <c r="H7" s="52"/>
      <c r="I7" s="49"/>
      <c r="J7" s="24"/>
      <c r="K7" s="24"/>
      <c r="L7" s="53" t="s">
        <v>10</v>
      </c>
      <c r="M7" s="26"/>
      <c r="N7" s="26"/>
      <c r="O7" s="26"/>
      <c r="P7" s="51" t="s">
        <v>148</v>
      </c>
      <c r="Q7" s="52"/>
      <c r="R7" s="49"/>
      <c r="S7" s="24"/>
      <c r="T7" s="47" t="s">
        <v>10</v>
      </c>
      <c r="U7" s="24"/>
      <c r="V7" s="24"/>
      <c r="W7" s="24"/>
      <c r="X7" s="45" t="s">
        <v>130</v>
      </c>
      <c r="Y7" s="42"/>
      <c r="Z7" s="28"/>
    </row>
    <row r="8" spans="1:26" ht="15.75">
      <c r="A8" s="14"/>
      <c r="B8" s="15"/>
      <c r="C8" s="54" t="s">
        <v>12</v>
      </c>
      <c r="D8" s="15"/>
      <c r="E8" s="15"/>
      <c r="F8" s="15"/>
      <c r="G8" s="15"/>
      <c r="H8" s="41" t="s">
        <v>131</v>
      </c>
      <c r="I8" s="16"/>
      <c r="L8" s="55" t="s">
        <v>12</v>
      </c>
      <c r="Q8" s="45" t="s">
        <v>131</v>
      </c>
      <c r="R8" s="13"/>
      <c r="T8" s="56" t="s">
        <v>12</v>
      </c>
      <c r="U8" s="15"/>
      <c r="V8" s="15"/>
      <c r="W8" s="15"/>
      <c r="X8" s="15"/>
      <c r="Y8" s="41" t="s">
        <v>131</v>
      </c>
      <c r="Z8" s="16"/>
    </row>
    <row r="9" spans="1:26" ht="15.75">
      <c r="A9" s="17"/>
      <c r="B9" s="18"/>
      <c r="C9" s="57" t="s">
        <v>14</v>
      </c>
      <c r="D9" s="18"/>
      <c r="E9" s="18"/>
      <c r="F9" s="18"/>
      <c r="G9" s="18"/>
      <c r="H9" s="51" t="s">
        <v>132</v>
      </c>
      <c r="I9" s="19"/>
      <c r="L9" s="58" t="s">
        <v>14</v>
      </c>
      <c r="M9" s="18"/>
      <c r="N9" s="18"/>
      <c r="O9" s="18"/>
      <c r="P9" s="18"/>
      <c r="Q9" s="51" t="s">
        <v>132</v>
      </c>
      <c r="R9" s="19"/>
      <c r="T9" s="58" t="s">
        <v>14</v>
      </c>
      <c r="U9" s="18"/>
      <c r="V9" s="18"/>
      <c r="W9" s="18"/>
      <c r="X9" s="18"/>
      <c r="Y9" s="51" t="s">
        <v>132</v>
      </c>
      <c r="Z9" s="19"/>
    </row>
    <row r="10" spans="1:26" ht="15.75">
      <c r="A10" s="59" t="s">
        <v>16</v>
      </c>
      <c r="B10" s="22"/>
      <c r="C10" s="15"/>
      <c r="D10" s="15"/>
      <c r="E10" s="15"/>
      <c r="F10" s="15"/>
      <c r="G10" s="15"/>
      <c r="H10" s="14"/>
      <c r="I10" s="16"/>
      <c r="L10" s="47" t="s">
        <v>16</v>
      </c>
      <c r="M10" s="24"/>
      <c r="N10" s="24"/>
      <c r="O10" s="24"/>
      <c r="P10" s="24"/>
      <c r="Q10" s="60"/>
      <c r="R10" s="28"/>
      <c r="S10" s="24"/>
      <c r="T10" s="47" t="s">
        <v>16</v>
      </c>
      <c r="U10" s="24"/>
      <c r="Y10" s="61"/>
      <c r="Z10" s="13"/>
    </row>
    <row r="11" spans="1:26" ht="15.75">
      <c r="A11" s="23"/>
      <c r="B11" s="24"/>
      <c r="C11" s="1" t="s">
        <v>17</v>
      </c>
      <c r="H11" s="62">
        <f>IF(H9="O",0.985,0.9)</f>
        <v>0.9</v>
      </c>
      <c r="I11" s="13"/>
      <c r="L11" s="55" t="s">
        <v>17</v>
      </c>
      <c r="Q11" s="61">
        <f>IF(Q9="O",0.985,0.9)</f>
        <v>0.9</v>
      </c>
      <c r="R11" s="13"/>
      <c r="T11" s="55" t="s">
        <v>17</v>
      </c>
      <c r="Y11" s="61">
        <f>IF(Y9="O",0.985,0.9)</f>
        <v>0.9</v>
      </c>
      <c r="Z11" s="13"/>
    </row>
    <row r="12" spans="1:26" ht="15.75">
      <c r="A12" s="23"/>
      <c r="B12" s="35" t="s">
        <v>18</v>
      </c>
      <c r="H12" s="61"/>
      <c r="I12" s="13"/>
      <c r="L12" s="47" t="s">
        <v>18</v>
      </c>
      <c r="M12" s="24"/>
      <c r="N12" s="24"/>
      <c r="O12" s="24"/>
      <c r="P12" s="24"/>
      <c r="Q12" s="60"/>
      <c r="R12" s="28"/>
      <c r="S12" s="24"/>
      <c r="T12" s="47" t="s">
        <v>18</v>
      </c>
      <c r="Y12" s="61"/>
      <c r="Z12" s="13"/>
    </row>
    <row r="13" spans="1:26" ht="15.75">
      <c r="A13" s="23"/>
      <c r="B13" s="24"/>
      <c r="C13" s="1" t="s">
        <v>19</v>
      </c>
      <c r="H13" s="61">
        <v>0.98</v>
      </c>
      <c r="I13" s="13"/>
      <c r="L13" s="55" t="s">
        <v>19</v>
      </c>
      <c r="Q13" s="61">
        <v>0.99</v>
      </c>
      <c r="R13" s="13"/>
      <c r="T13" s="55" t="s">
        <v>19</v>
      </c>
      <c r="Y13" s="61">
        <v>0.96</v>
      </c>
      <c r="Z13" s="13"/>
    </row>
    <row r="14" spans="1:26" ht="15.75">
      <c r="A14" s="23"/>
      <c r="B14" s="24"/>
      <c r="C14" s="1" t="s">
        <v>20</v>
      </c>
      <c r="H14" s="61">
        <v>46</v>
      </c>
      <c r="I14" s="63" t="s">
        <v>21</v>
      </c>
      <c r="L14" s="55" t="s">
        <v>20</v>
      </c>
      <c r="Q14" s="61">
        <v>44.5</v>
      </c>
      <c r="R14" s="63" t="s">
        <v>21</v>
      </c>
      <c r="T14" s="55" t="s">
        <v>20</v>
      </c>
      <c r="Y14" s="61">
        <v>30.1</v>
      </c>
      <c r="Z14" s="63" t="s">
        <v>21</v>
      </c>
    </row>
    <row r="15" spans="1:26" ht="15.75">
      <c r="A15" s="23"/>
      <c r="B15" s="24"/>
      <c r="C15" s="1" t="s">
        <v>22</v>
      </c>
      <c r="H15" s="61"/>
      <c r="I15" s="63" t="s">
        <v>21</v>
      </c>
      <c r="L15" s="55" t="s">
        <v>22</v>
      </c>
      <c r="Q15" s="61"/>
      <c r="R15" s="63" t="s">
        <v>21</v>
      </c>
      <c r="T15" s="55" t="s">
        <v>22</v>
      </c>
      <c r="Y15" s="61"/>
      <c r="Z15" s="63" t="s">
        <v>21</v>
      </c>
    </row>
    <row r="16" spans="1:26" ht="15.75">
      <c r="A16" s="23"/>
      <c r="B16" s="24"/>
      <c r="C16" s="1" t="s">
        <v>23</v>
      </c>
      <c r="H16" s="61">
        <v>33.1</v>
      </c>
      <c r="I16" s="13"/>
      <c r="L16" s="55" t="s">
        <v>23</v>
      </c>
      <c r="Q16" s="61">
        <v>36.72</v>
      </c>
      <c r="R16" s="13"/>
      <c r="T16" s="55" t="s">
        <v>23</v>
      </c>
      <c r="Y16" s="61">
        <v>91.38</v>
      </c>
      <c r="Z16" s="13"/>
    </row>
    <row r="17" spans="1:26" ht="15.75">
      <c r="A17" s="23"/>
      <c r="B17" s="24"/>
      <c r="C17" s="1" t="s">
        <v>24</v>
      </c>
      <c r="H17" s="61">
        <v>1.85</v>
      </c>
      <c r="I17" s="13"/>
      <c r="L17" s="55" t="s">
        <v>24</v>
      </c>
      <c r="Q17" s="61">
        <v>2</v>
      </c>
      <c r="R17" s="13"/>
      <c r="T17" s="55" t="s">
        <v>24</v>
      </c>
      <c r="Y17" s="61"/>
      <c r="Z17" s="13"/>
    </row>
    <row r="18" spans="1:26" ht="15.75">
      <c r="A18" s="23"/>
      <c r="B18" s="24"/>
      <c r="C18" s="1" t="s">
        <v>25</v>
      </c>
      <c r="H18" s="61">
        <f>H16+H17</f>
        <v>34.95</v>
      </c>
      <c r="I18" s="63" t="s">
        <v>26</v>
      </c>
      <c r="L18" s="55" t="s">
        <v>25</v>
      </c>
      <c r="Q18" s="61">
        <f>Q16+Q17</f>
        <v>38.72</v>
      </c>
      <c r="R18" s="63" t="s">
        <v>26</v>
      </c>
      <c r="T18" s="55" t="s">
        <v>25</v>
      </c>
      <c r="Y18" s="61">
        <f>Y16+Y17</f>
        <v>91.38</v>
      </c>
      <c r="Z18" s="63" t="s">
        <v>26</v>
      </c>
    </row>
    <row r="19" spans="1:26" ht="15.75">
      <c r="A19" s="23"/>
      <c r="B19" s="24"/>
      <c r="H19" s="61"/>
      <c r="I19" s="13"/>
      <c r="L19" s="12"/>
      <c r="Q19" s="61"/>
      <c r="R19" s="13"/>
      <c r="T19" s="12"/>
      <c r="Y19" s="61"/>
      <c r="Z19" s="13"/>
    </row>
    <row r="20" spans="1:26" ht="15.75">
      <c r="A20" s="23"/>
      <c r="B20" s="35" t="s">
        <v>27</v>
      </c>
      <c r="H20" s="61"/>
      <c r="I20" s="13"/>
      <c r="L20" s="47" t="s">
        <v>27</v>
      </c>
      <c r="M20" s="24"/>
      <c r="N20" s="24"/>
      <c r="O20" s="24"/>
      <c r="P20" s="24"/>
      <c r="Q20" s="60"/>
      <c r="R20" s="13"/>
      <c r="S20" s="24"/>
      <c r="T20" s="47" t="s">
        <v>27</v>
      </c>
      <c r="Y20" s="61"/>
      <c r="Z20" s="13"/>
    </row>
    <row r="21" spans="1:26" ht="15.75">
      <c r="A21" s="23"/>
      <c r="B21" s="24"/>
      <c r="C21" s="1" t="s">
        <v>19</v>
      </c>
      <c r="H21" s="61"/>
      <c r="I21" s="13"/>
      <c r="L21" s="55" t="s">
        <v>19</v>
      </c>
      <c r="Q21" s="61"/>
      <c r="R21" s="13"/>
      <c r="T21" s="55" t="s">
        <v>19</v>
      </c>
      <c r="Y21" s="61"/>
      <c r="Z21" s="13"/>
    </row>
    <row r="22" spans="1:26" ht="15.75">
      <c r="A22" s="23"/>
      <c r="B22" s="24"/>
      <c r="C22" s="1" t="s">
        <v>20</v>
      </c>
      <c r="H22" s="61"/>
      <c r="I22" s="63" t="s">
        <v>21</v>
      </c>
      <c r="L22" s="55" t="s">
        <v>20</v>
      </c>
      <c r="Q22" s="61"/>
      <c r="R22" s="63" t="s">
        <v>21</v>
      </c>
      <c r="T22" s="55" t="s">
        <v>20</v>
      </c>
      <c r="Y22" s="61"/>
      <c r="Z22" s="63" t="s">
        <v>21</v>
      </c>
    </row>
    <row r="23" spans="1:26" ht="15.75">
      <c r="A23" s="23"/>
      <c r="B23" s="24"/>
      <c r="C23" s="1" t="s">
        <v>22</v>
      </c>
      <c r="H23" s="61"/>
      <c r="I23" s="63" t="s">
        <v>21</v>
      </c>
      <c r="L23" s="55" t="s">
        <v>22</v>
      </c>
      <c r="Q23" s="61"/>
      <c r="R23" s="63" t="s">
        <v>21</v>
      </c>
      <c r="T23" s="55" t="s">
        <v>22</v>
      </c>
      <c r="Y23" s="61"/>
      <c r="Z23" s="63" t="s">
        <v>21</v>
      </c>
    </row>
    <row r="24" spans="1:26" ht="15.75">
      <c r="A24" s="23"/>
      <c r="B24" s="24"/>
      <c r="C24" s="1" t="s">
        <v>23</v>
      </c>
      <c r="H24" s="61"/>
      <c r="I24" s="63" t="s">
        <v>26</v>
      </c>
      <c r="L24" s="55" t="s">
        <v>23</v>
      </c>
      <c r="Q24" s="61"/>
      <c r="R24" s="63" t="s">
        <v>26</v>
      </c>
      <c r="T24" s="55" t="s">
        <v>23</v>
      </c>
      <c r="Y24" s="61"/>
      <c r="Z24" s="63" t="s">
        <v>26</v>
      </c>
    </row>
    <row r="25" spans="1:26" ht="15.75">
      <c r="A25" s="23"/>
      <c r="B25" s="24"/>
      <c r="C25" s="1" t="s">
        <v>28</v>
      </c>
      <c r="H25" s="61">
        <f>IF(H24=0,"",H24+H17)</f>
      </c>
      <c r="I25" s="63" t="s">
        <v>26</v>
      </c>
      <c r="L25" s="55" t="s">
        <v>28</v>
      </c>
      <c r="Q25" s="61">
        <f>IF(Q24=0,"",Q24+Q17)</f>
      </c>
      <c r="R25" s="63" t="s">
        <v>26</v>
      </c>
      <c r="T25" s="55" t="s">
        <v>28</v>
      </c>
      <c r="Y25" s="61">
        <f>IF(Y24=0,"",Y24+Y17)</f>
      </c>
      <c r="Z25" s="63" t="s">
        <v>26</v>
      </c>
    </row>
    <row r="26" spans="1:26" ht="15.75">
      <c r="A26" s="23"/>
      <c r="B26" s="24"/>
      <c r="H26" s="61"/>
      <c r="I26" s="13"/>
      <c r="L26" s="12"/>
      <c r="Q26" s="61"/>
      <c r="R26" s="13"/>
      <c r="T26" s="12"/>
      <c r="Y26" s="61"/>
      <c r="Z26" s="13"/>
    </row>
    <row r="27" spans="1:26" ht="15.75">
      <c r="A27" s="23"/>
      <c r="B27" s="24"/>
      <c r="C27" s="1" t="s">
        <v>29</v>
      </c>
      <c r="H27" s="61"/>
      <c r="I27" s="13"/>
      <c r="L27" s="1" t="s">
        <v>29</v>
      </c>
      <c r="Q27" s="61"/>
      <c r="R27" s="13"/>
      <c r="T27" s="1" t="s">
        <v>29</v>
      </c>
      <c r="Y27" s="61"/>
      <c r="Z27" s="13"/>
    </row>
    <row r="28" spans="1:26" ht="15.75">
      <c r="A28" s="25"/>
      <c r="B28" s="26"/>
      <c r="C28" s="57" t="s">
        <v>30</v>
      </c>
      <c r="D28" s="18"/>
      <c r="E28" s="18"/>
      <c r="F28" s="18"/>
      <c r="G28" s="18"/>
      <c r="H28" s="64"/>
      <c r="I28" s="19"/>
      <c r="L28" s="58" t="s">
        <v>30</v>
      </c>
      <c r="M28" s="18"/>
      <c r="N28" s="18"/>
      <c r="O28" s="18"/>
      <c r="P28" s="18"/>
      <c r="Q28" s="64"/>
      <c r="R28" s="19"/>
      <c r="T28" s="58" t="s">
        <v>30</v>
      </c>
      <c r="U28" s="18"/>
      <c r="V28" s="18"/>
      <c r="W28" s="18"/>
      <c r="X28" s="18"/>
      <c r="Y28" s="64"/>
      <c r="Z28" s="19"/>
    </row>
    <row r="29" spans="1:26" ht="15.75">
      <c r="A29" s="59" t="s">
        <v>31</v>
      </c>
      <c r="B29" s="22"/>
      <c r="C29" s="15"/>
      <c r="D29" s="15"/>
      <c r="E29" s="15"/>
      <c r="F29" s="15"/>
      <c r="G29" s="15"/>
      <c r="H29" s="65"/>
      <c r="I29" s="16"/>
      <c r="L29" s="47" t="s">
        <v>31</v>
      </c>
      <c r="M29" s="24"/>
      <c r="N29" s="24"/>
      <c r="O29" s="24"/>
      <c r="P29" s="24"/>
      <c r="Q29" s="60"/>
      <c r="R29" s="13"/>
      <c r="S29" s="24"/>
      <c r="T29" s="47" t="s">
        <v>31</v>
      </c>
      <c r="U29" s="24"/>
      <c r="Y29" s="61"/>
      <c r="Z29" s="13"/>
    </row>
    <row r="30" spans="1:26" ht="15.75">
      <c r="A30" s="23"/>
      <c r="B30" s="35" t="s">
        <v>32</v>
      </c>
      <c r="H30" s="66" t="s">
        <v>149</v>
      </c>
      <c r="I30" s="13"/>
      <c r="L30" s="47" t="s">
        <v>32</v>
      </c>
      <c r="N30" s="24"/>
      <c r="O30" s="24"/>
      <c r="P30" s="24"/>
      <c r="Q30" s="66" t="s">
        <v>149</v>
      </c>
      <c r="R30" s="13"/>
      <c r="S30" s="24"/>
      <c r="T30" s="47" t="s">
        <v>32</v>
      </c>
      <c r="Y30" s="66" t="s">
        <v>136</v>
      </c>
      <c r="Z30" s="13"/>
    </row>
    <row r="31" spans="1:26" ht="15.75">
      <c r="A31" s="23"/>
      <c r="B31" s="24"/>
      <c r="C31" s="1" t="s">
        <v>33</v>
      </c>
      <c r="H31" s="61"/>
      <c r="I31" s="63" t="s">
        <v>21</v>
      </c>
      <c r="L31" s="23"/>
      <c r="M31" s="1" t="s">
        <v>33</v>
      </c>
      <c r="Q31" s="61"/>
      <c r="R31" s="63" t="s">
        <v>21</v>
      </c>
      <c r="T31" s="23"/>
      <c r="U31" s="1" t="s">
        <v>33</v>
      </c>
      <c r="Y31" s="61"/>
      <c r="Z31" s="63" t="s">
        <v>21</v>
      </c>
    </row>
    <row r="32" spans="1:26" ht="15.75">
      <c r="A32" s="23"/>
      <c r="B32" s="24"/>
      <c r="C32" s="1" t="s">
        <v>34</v>
      </c>
      <c r="H32" s="61">
        <v>17</v>
      </c>
      <c r="I32" s="63" t="s">
        <v>21</v>
      </c>
      <c r="L32" s="23"/>
      <c r="M32" s="1" t="s">
        <v>34</v>
      </c>
      <c r="Q32" s="61">
        <v>11</v>
      </c>
      <c r="R32" s="63" t="s">
        <v>21</v>
      </c>
      <c r="T32" s="23"/>
      <c r="U32" s="1" t="s">
        <v>34</v>
      </c>
      <c r="Y32" s="61">
        <v>36</v>
      </c>
      <c r="Z32" s="63" t="s">
        <v>21</v>
      </c>
    </row>
    <row r="33" spans="1:26" ht="15.75">
      <c r="A33" s="23"/>
      <c r="B33" s="24"/>
      <c r="C33" s="1" t="s">
        <v>35</v>
      </c>
      <c r="H33" s="61">
        <v>0.864</v>
      </c>
      <c r="I33" s="13"/>
      <c r="L33" s="23"/>
      <c r="M33" s="1" t="s">
        <v>35</v>
      </c>
      <c r="Q33" s="61">
        <v>0.864</v>
      </c>
      <c r="R33" s="13"/>
      <c r="T33" s="23"/>
      <c r="U33" s="1" t="s">
        <v>35</v>
      </c>
      <c r="Y33" s="61">
        <v>0.869</v>
      </c>
      <c r="Z33" s="13"/>
    </row>
    <row r="34" spans="1:26" ht="15.75">
      <c r="A34" s="23"/>
      <c r="B34" s="24"/>
      <c r="C34" s="1" t="s">
        <v>36</v>
      </c>
      <c r="H34" s="61">
        <v>2.54</v>
      </c>
      <c r="I34" s="63" t="s">
        <v>37</v>
      </c>
      <c r="L34" s="23"/>
      <c r="M34" s="1" t="s">
        <v>36</v>
      </c>
      <c r="Q34" s="61">
        <v>2.54</v>
      </c>
      <c r="R34" s="63" t="s">
        <v>37</v>
      </c>
      <c r="T34" s="23"/>
      <c r="U34" s="1" t="s">
        <v>36</v>
      </c>
      <c r="Y34" s="61">
        <v>4.553</v>
      </c>
      <c r="Z34" s="63" t="s">
        <v>37</v>
      </c>
    </row>
    <row r="35" spans="1:26" ht="15.75">
      <c r="A35" s="23"/>
      <c r="B35" s="24"/>
      <c r="C35" s="1" t="s">
        <v>38</v>
      </c>
      <c r="H35" s="61"/>
      <c r="I35" s="63" t="s">
        <v>26</v>
      </c>
      <c r="L35" s="23"/>
      <c r="M35" s="1" t="s">
        <v>38</v>
      </c>
      <c r="Q35" s="61"/>
      <c r="R35" s="63" t="s">
        <v>26</v>
      </c>
      <c r="T35" s="23"/>
      <c r="U35" s="1" t="s">
        <v>38</v>
      </c>
      <c r="Y35" s="61"/>
      <c r="Z35" s="63" t="s">
        <v>26</v>
      </c>
    </row>
    <row r="36" spans="1:26" ht="15.75">
      <c r="A36" s="23"/>
      <c r="B36" s="35" t="s">
        <v>39</v>
      </c>
      <c r="H36" s="61"/>
      <c r="I36" s="13"/>
      <c r="L36" s="47" t="s">
        <v>39</v>
      </c>
      <c r="N36" s="24"/>
      <c r="O36" s="24"/>
      <c r="Q36" s="61"/>
      <c r="R36" s="13"/>
      <c r="T36" s="47" t="s">
        <v>39</v>
      </c>
      <c r="Y36" s="61"/>
      <c r="Z36" s="13"/>
    </row>
    <row r="37" spans="1:26" ht="15.75">
      <c r="A37" s="23"/>
      <c r="B37" s="24"/>
      <c r="C37" s="1" t="s">
        <v>33</v>
      </c>
      <c r="H37" s="61"/>
      <c r="I37" s="63" t="s">
        <v>21</v>
      </c>
      <c r="L37" s="23"/>
      <c r="M37" s="1" t="s">
        <v>33</v>
      </c>
      <c r="Q37" s="61"/>
      <c r="R37" s="63" t="s">
        <v>21</v>
      </c>
      <c r="T37" s="23"/>
      <c r="U37" s="1" t="s">
        <v>33</v>
      </c>
      <c r="Y37" s="61"/>
      <c r="Z37" s="63" t="s">
        <v>21</v>
      </c>
    </row>
    <row r="38" spans="1:26" ht="15.75">
      <c r="A38" s="23"/>
      <c r="B38" s="24"/>
      <c r="C38" s="1" t="s">
        <v>34</v>
      </c>
      <c r="H38" s="61"/>
      <c r="I38" s="63" t="s">
        <v>21</v>
      </c>
      <c r="L38" s="23"/>
      <c r="M38" s="1" t="s">
        <v>34</v>
      </c>
      <c r="Q38" s="61"/>
      <c r="R38" s="63" t="s">
        <v>21</v>
      </c>
      <c r="T38" s="23"/>
      <c r="U38" s="1" t="s">
        <v>34</v>
      </c>
      <c r="Y38" s="61"/>
      <c r="Z38" s="63" t="s">
        <v>21</v>
      </c>
    </row>
    <row r="39" spans="1:26" ht="15.75">
      <c r="A39" s="23"/>
      <c r="B39" s="24"/>
      <c r="C39" s="1" t="s">
        <v>35</v>
      </c>
      <c r="H39" s="61"/>
      <c r="I39" s="13"/>
      <c r="L39" s="23"/>
      <c r="M39" s="1" t="s">
        <v>35</v>
      </c>
      <c r="Q39" s="61"/>
      <c r="R39" s="13"/>
      <c r="T39" s="23"/>
      <c r="U39" s="1" t="s">
        <v>35</v>
      </c>
      <c r="Y39" s="61"/>
      <c r="Z39" s="13"/>
    </row>
    <row r="40" spans="1:26" ht="15.75">
      <c r="A40" s="23"/>
      <c r="B40" s="24"/>
      <c r="C40" s="1" t="s">
        <v>36</v>
      </c>
      <c r="H40" s="61"/>
      <c r="I40" s="63" t="s">
        <v>37</v>
      </c>
      <c r="L40" s="23"/>
      <c r="M40" s="1" t="s">
        <v>36</v>
      </c>
      <c r="Q40" s="61"/>
      <c r="R40" s="63" t="s">
        <v>37</v>
      </c>
      <c r="T40" s="23"/>
      <c r="U40" s="1" t="s">
        <v>36</v>
      </c>
      <c r="Y40" s="61"/>
      <c r="Z40" s="63" t="s">
        <v>37</v>
      </c>
    </row>
    <row r="41" spans="1:26" ht="15.75">
      <c r="A41" s="23"/>
      <c r="B41" s="24"/>
      <c r="C41" s="1" t="s">
        <v>38</v>
      </c>
      <c r="H41" s="61"/>
      <c r="I41" s="63" t="s">
        <v>26</v>
      </c>
      <c r="L41" s="23"/>
      <c r="M41" s="1" t="s">
        <v>38</v>
      </c>
      <c r="Q41" s="61"/>
      <c r="R41" s="1" t="s">
        <v>26</v>
      </c>
      <c r="S41" s="12"/>
      <c r="T41" s="25"/>
      <c r="U41" s="57" t="s">
        <v>38</v>
      </c>
      <c r="V41" s="18"/>
      <c r="W41" s="18"/>
      <c r="X41" s="18"/>
      <c r="Y41" s="64"/>
      <c r="Z41" s="67" t="s">
        <v>26</v>
      </c>
    </row>
    <row r="42" spans="1:26" ht="15.75">
      <c r="A42" s="59" t="s">
        <v>40</v>
      </c>
      <c r="B42" s="22"/>
      <c r="C42" s="15"/>
      <c r="D42" s="15"/>
      <c r="E42" s="15"/>
      <c r="F42" s="15"/>
      <c r="G42" s="15"/>
      <c r="H42" s="65"/>
      <c r="I42" s="16"/>
      <c r="L42" s="59" t="s">
        <v>40</v>
      </c>
      <c r="M42" s="22"/>
      <c r="N42" s="15"/>
      <c r="O42" s="15"/>
      <c r="P42" s="15"/>
      <c r="Q42" s="14"/>
      <c r="R42" s="15"/>
      <c r="S42" s="12"/>
      <c r="T42" s="47" t="s">
        <v>40</v>
      </c>
      <c r="U42" s="24"/>
      <c r="Y42" s="12"/>
      <c r="Z42" s="13"/>
    </row>
    <row r="43" spans="1:26" ht="15.75">
      <c r="A43" s="23"/>
      <c r="B43" s="24"/>
      <c r="C43" s="1" t="s">
        <v>41</v>
      </c>
      <c r="H43" s="62" t="str">
        <f>IF(H$8="M"," ",IF(H27=0,H28,+H27*H13/H21))</f>
        <v> </v>
      </c>
      <c r="I43" s="13"/>
      <c r="L43" s="55" t="s">
        <v>41</v>
      </c>
      <c r="Q43" s="62" t="str">
        <f>IF(Q$8="M"," ",IF(Q27=0,Q28,+Q27*Q13/Q21))</f>
        <v> </v>
      </c>
      <c r="R43" s="13"/>
      <c r="T43" s="55" t="s">
        <v>41</v>
      </c>
      <c r="Y43" s="62" t="str">
        <f>IF(Y$8="M"," ",IF(Y27=0,Y28,+Y27*Y13/Y21))</f>
        <v> </v>
      </c>
      <c r="Z43" s="13"/>
    </row>
    <row r="44" spans="1:26" ht="15.75">
      <c r="A44" s="23"/>
      <c r="B44" s="24"/>
      <c r="C44" s="1" t="s">
        <v>42</v>
      </c>
      <c r="H44" s="62" t="str">
        <f>IF(H8="M"," ",IF(H28=0,H27,H28*H21/H13))</f>
        <v> </v>
      </c>
      <c r="I44" s="13"/>
      <c r="L44" s="55" t="s">
        <v>42</v>
      </c>
      <c r="Q44" s="62" t="str">
        <f>IF(Q8="M"," ",IF(Q28=0,Q27,Q28*Q21/Q13))</f>
        <v> </v>
      </c>
      <c r="R44" s="13"/>
      <c r="T44" s="55" t="s">
        <v>42</v>
      </c>
      <c r="Y44" s="62" t="str">
        <f>IF(Y8="M"," ",IF(Y28=0,Y27,Y28*Y21/Y13))</f>
        <v> </v>
      </c>
      <c r="Z44" s="13"/>
    </row>
    <row r="45" spans="1:26" ht="15.75">
      <c r="A45" s="23"/>
      <c r="B45" s="24"/>
      <c r="C45" s="1" t="s">
        <v>43</v>
      </c>
      <c r="H45" s="62" t="str">
        <f>IF(H8="M"," ",(H21+(H13*H44))*H13/(H43*H21+H13))</f>
        <v> </v>
      </c>
      <c r="I45" s="13"/>
      <c r="L45" s="55" t="s">
        <v>43</v>
      </c>
      <c r="Q45" s="62" t="str">
        <f>IF(Q8="M"," ",(Q21+(Q13*Q44))*Q13/(Q43*Q21+Q13))</f>
        <v> </v>
      </c>
      <c r="R45" s="13"/>
      <c r="T45" s="55" t="s">
        <v>43</v>
      </c>
      <c r="Y45" s="62" t="str">
        <f>IF(Y8="M"," ",(Y21+(Y13*Y44))*Y13/(Y43*Y21+Y13))</f>
        <v> </v>
      </c>
      <c r="Z45" s="13"/>
    </row>
    <row r="46" spans="1:26" ht="15.75">
      <c r="A46" s="23"/>
      <c r="B46" s="24"/>
      <c r="C46" s="1" t="s">
        <v>44</v>
      </c>
      <c r="H46" s="62" t="str">
        <f>IF(H$8="M"," ",(H22+(H14*H43))/(1+H43))</f>
        <v> </v>
      </c>
      <c r="I46" s="63" t="s">
        <v>21</v>
      </c>
      <c r="L46" s="55" t="s">
        <v>44</v>
      </c>
      <c r="Q46" s="62" t="str">
        <f>IF(Q$8="M"," ",(Q22+(Q14*Q43))/(1+Q43))</f>
        <v> </v>
      </c>
      <c r="R46" s="63" t="s">
        <v>21</v>
      </c>
      <c r="T46" s="55" t="s">
        <v>44</v>
      </c>
      <c r="Y46" s="62" t="str">
        <f>IF(Y$8="M"," ",(Y22+(Y14*Y43))/(1+Y43))</f>
        <v> </v>
      </c>
      <c r="Z46" s="63" t="s">
        <v>21</v>
      </c>
    </row>
    <row r="47" spans="1:26" ht="15.75">
      <c r="A47" s="23"/>
      <c r="B47" s="24"/>
      <c r="C47" s="1" t="s">
        <v>45</v>
      </c>
      <c r="H47" s="62">
        <f>IF(H$8="M",100-H13*(100-H14)/H11,100-H45*(100-H46)/H11)</f>
        <v>41.2</v>
      </c>
      <c r="I47" s="63" t="s">
        <v>21</v>
      </c>
      <c r="L47" s="55" t="s">
        <v>45</v>
      </c>
      <c r="Q47" s="62">
        <f>IF(Q$8="M",100-Q13*(100-Q14)/Q11,100-Q45*(100-Q46)/Q11)</f>
        <v>38.95</v>
      </c>
      <c r="R47" s="63" t="s">
        <v>21</v>
      </c>
      <c r="T47" s="55" t="s">
        <v>45</v>
      </c>
      <c r="Y47" s="62">
        <f>IF(Y$8="M",100-Y13*(100-Y14)/Y11,100-Y45*(100-Y46)/Y11)</f>
        <v>25.439999999999998</v>
      </c>
      <c r="Z47" s="63" t="s">
        <v>21</v>
      </c>
    </row>
    <row r="48" spans="1:26" ht="15.75">
      <c r="A48" s="23"/>
      <c r="B48" s="24"/>
      <c r="C48" s="1" t="s">
        <v>46</v>
      </c>
      <c r="H48" s="62">
        <f>IF(H$8="M",H13*H14/H47,H46*H45/H47)</f>
        <v>1.0941747572815532</v>
      </c>
      <c r="I48" s="13"/>
      <c r="L48" s="55" t="s">
        <v>46</v>
      </c>
      <c r="Q48" s="62">
        <f>IF(Q$8="M",Q13*Q14/Q47,Q46*Q45/Q47)</f>
        <v>1.1310654685494221</v>
      </c>
      <c r="R48" s="13"/>
      <c r="T48" s="55" t="s">
        <v>46</v>
      </c>
      <c r="Y48" s="62">
        <f>IF(Y$8="M",Y13*Y14/Y47,Y46*Y45/Y47)</f>
        <v>1.1358490566037738</v>
      </c>
      <c r="Z48" s="13"/>
    </row>
    <row r="49" spans="1:26" ht="15.75">
      <c r="A49" s="23"/>
      <c r="B49" s="24"/>
      <c r="H49" s="12"/>
      <c r="I49" s="13"/>
      <c r="L49" s="12"/>
      <c r="Q49" s="12"/>
      <c r="R49" s="13"/>
      <c r="T49" s="12"/>
      <c r="Y49" s="12"/>
      <c r="Z49" s="13"/>
    </row>
    <row r="50" spans="1:26" ht="15.75">
      <c r="A50" s="23"/>
      <c r="B50" s="24"/>
      <c r="C50" s="1" t="s">
        <v>47</v>
      </c>
      <c r="H50" s="62" t="str">
        <f>IF(H$8="M"," ",(H70+H71/H44)/(1+1/H44))</f>
        <v> </v>
      </c>
      <c r="I50" s="63" t="s">
        <v>37</v>
      </c>
      <c r="L50" s="55" t="s">
        <v>47</v>
      </c>
      <c r="Q50" s="62" t="str">
        <f>IF(Q$8="M"," ",(Q70+Q71/Q44)/(1+1/Q44))</f>
        <v> </v>
      </c>
      <c r="R50" s="63" t="s">
        <v>37</v>
      </c>
      <c r="T50" s="55" t="s">
        <v>47</v>
      </c>
      <c r="Y50" s="62" t="str">
        <f>IF(Y$8="M"," ",(Y70+Y71/Y44)/(1+1/Y44))</f>
        <v> </v>
      </c>
      <c r="Z50" s="63" t="s">
        <v>37</v>
      </c>
    </row>
    <row r="51" spans="1:26" ht="15.75">
      <c r="A51" s="23"/>
      <c r="B51" s="24"/>
      <c r="C51" s="1" t="s">
        <v>48</v>
      </c>
      <c r="H51" s="62" t="str">
        <f>IF(H$8="M"," ",H50/H45)</f>
        <v> </v>
      </c>
      <c r="I51" s="63" t="s">
        <v>26</v>
      </c>
      <c r="L51" s="55" t="s">
        <v>48</v>
      </c>
      <c r="Q51" s="62" t="str">
        <f>IF(Q$8="M"," ",Q50/Q45)</f>
        <v> </v>
      </c>
      <c r="R51" s="63" t="s">
        <v>26</v>
      </c>
      <c r="T51" s="55" t="s">
        <v>48</v>
      </c>
      <c r="Y51" s="62" t="str">
        <f>IF(Y$8="M"," ",Y50/Y45)</f>
        <v> </v>
      </c>
      <c r="Z51" s="63" t="s">
        <v>26</v>
      </c>
    </row>
    <row r="52" spans="1:26" ht="15.75">
      <c r="A52" s="23"/>
      <c r="B52" s="24"/>
      <c r="C52" s="1" t="s">
        <v>49</v>
      </c>
      <c r="H52" s="72">
        <f>IF(H$8="M",100*H70/(H13*H14),100*((H44*H70)+H71)/((H44*H13*H14)+(H21*H22)))</f>
        <v>75.97826086956523</v>
      </c>
      <c r="I52" s="63" t="s">
        <v>26</v>
      </c>
      <c r="L52" s="55" t="s">
        <v>49</v>
      </c>
      <c r="Q52" s="72">
        <f>IF(Q$8="M",100*Q70/(Q13*Q14),100*((Q44*Q70)+Q71)/((Q44*Q13*Q14)+(Q21*Q22)))</f>
        <v>87.01123595505618</v>
      </c>
      <c r="R52" s="63" t="s">
        <v>26</v>
      </c>
      <c r="T52" s="55" t="s">
        <v>49</v>
      </c>
      <c r="Y52" s="72">
        <f>IF(Y$8="M",100*Y70/(Y13*Y14),100*((Y44*Y70)+Y71)/((Y44*Y13*Y14)+(Y21*Y22)))</f>
        <v>303.5880398671096</v>
      </c>
      <c r="Z52" s="63" t="s">
        <v>26</v>
      </c>
    </row>
    <row r="53" spans="1:26" ht="15.75">
      <c r="A53" s="25"/>
      <c r="B53" s="26"/>
      <c r="C53" s="57" t="s">
        <v>50</v>
      </c>
      <c r="D53" s="18"/>
      <c r="E53" s="18"/>
      <c r="F53" s="18"/>
      <c r="G53" s="18"/>
      <c r="H53" s="11">
        <f>H52*H48</f>
        <v>83.13349514563107</v>
      </c>
      <c r="I53" s="67" t="s">
        <v>37</v>
      </c>
      <c r="L53" s="58" t="s">
        <v>50</v>
      </c>
      <c r="M53" s="18"/>
      <c r="N53" s="18"/>
      <c r="O53" s="18"/>
      <c r="P53" s="18"/>
      <c r="Q53" s="11">
        <f>Q52*Q48</f>
        <v>98.41540436456994</v>
      </c>
      <c r="R53" s="67" t="s">
        <v>37</v>
      </c>
      <c r="T53" s="58" t="s">
        <v>50</v>
      </c>
      <c r="U53" s="18"/>
      <c r="V53" s="18"/>
      <c r="W53" s="18"/>
      <c r="X53" s="18"/>
      <c r="Y53" s="11">
        <f>Y52*Y48</f>
        <v>344.83018867924534</v>
      </c>
      <c r="Z53" s="67" t="s">
        <v>37</v>
      </c>
    </row>
    <row r="54" spans="1:26" ht="15.75">
      <c r="A54" s="59" t="s">
        <v>51</v>
      </c>
      <c r="B54" s="22"/>
      <c r="C54" s="15"/>
      <c r="D54" s="15"/>
      <c r="E54" s="15"/>
      <c r="F54" s="15"/>
      <c r="G54" s="15"/>
      <c r="H54" s="14"/>
      <c r="I54" s="16"/>
      <c r="L54" s="59" t="s">
        <v>51</v>
      </c>
      <c r="M54" s="22"/>
      <c r="N54" s="22"/>
      <c r="O54" s="22"/>
      <c r="P54" s="22"/>
      <c r="Q54" s="14"/>
      <c r="R54" s="16"/>
      <c r="S54" s="24"/>
      <c r="T54" s="59" t="s">
        <v>51</v>
      </c>
      <c r="U54" s="15"/>
      <c r="V54" s="15"/>
      <c r="W54" s="15"/>
      <c r="X54" s="15"/>
      <c r="Y54" s="14"/>
      <c r="Z54" s="16"/>
    </row>
    <row r="55" spans="1:26" ht="15.75">
      <c r="A55" s="23"/>
      <c r="B55" s="24"/>
      <c r="C55" s="1" t="s">
        <v>52</v>
      </c>
      <c r="H55" s="62">
        <f>IF(H$64=0," ",IF(H$8="M",(H13+(H64*H33+H67*H39)/100)/(1+(H64+H67)/100),(H13+((H64*H33+H67*H39)/100)+H21/H44)/(1+((H64+H67)/100)+1/H44)))</f>
        <v>0.9612482049291675</v>
      </c>
      <c r="I55" s="13"/>
      <c r="L55" s="55" t="s">
        <v>52</v>
      </c>
      <c r="Q55" s="62">
        <f>IF(Q$64=0," ",IF(Q$8="M",(Q13+(Q64*Q33+Q67*Q39)/100)/(1+(Q64+Q67)/100),(Q13+((Q64*Q33+Q67*Q39)/100)+Q21/Q44)/(1+((Q64+Q67)/100)+1/Q44)))</f>
        <v>0.9758963922294173</v>
      </c>
      <c r="R55" s="13"/>
      <c r="T55" s="55" t="s">
        <v>52</v>
      </c>
      <c r="Y55" s="62">
        <f>IF(Y$64=0," ",IF(Y$8="M",(Y13+(Y64*Y33+Y67*Y39)/100)/(1+(Y64+Y67)/100),(Y13+((Y64*Y33+Y67*Y39)/100)+Y21/Y44)/(1+((Y64+Y67)/100)+1/Y44)))</f>
        <v>0.9341070311213568</v>
      </c>
      <c r="Z55" s="13"/>
    </row>
    <row r="56" spans="1:26" ht="15.75">
      <c r="A56" s="23"/>
      <c r="B56" s="24"/>
      <c r="C56" s="1" t="s">
        <v>53</v>
      </c>
      <c r="H56" s="62">
        <f>IF(H$64=0," ",IF(H$8="M",H13*H14/(H13+(H64*H33+H67*H39)/100),(H14*H43+H22)/(1+H43+H43*(H64*H33+H67*H39)/(H13*100))))</f>
        <v>39.31623931623931</v>
      </c>
      <c r="I56" s="63" t="s">
        <v>21</v>
      </c>
      <c r="L56" s="55" t="s">
        <v>53</v>
      </c>
      <c r="Q56" s="62">
        <f>IF(Q$64=0," ",IF(Q$8="M",Q13*Q14/(Q13+(Q64*Q33+Q67*Q39)/100),(Q14*Q43+Q22)/(1+Q43+Q43*(Q64*Q33+Q67*Q39)/(Q13*100))))</f>
        <v>40.090090090090094</v>
      </c>
      <c r="R56" s="63" t="s">
        <v>21</v>
      </c>
      <c r="T56" s="55" t="s">
        <v>54</v>
      </c>
      <c r="Y56" s="62">
        <f>IF(Y$64=0," ",IF(Y$8="M",Y13*Y14/(Y13+(Y64*Y33+Y67*Y39)/100),(Y14*Y43+Y22)/(1+Y43+Y43*(Y64*Y33+Y67*Y39)/(Y13*100))))</f>
        <v>22.13235294117647</v>
      </c>
      <c r="Z56" s="63" t="s">
        <v>21</v>
      </c>
    </row>
    <row r="57" spans="1:26" ht="15.75">
      <c r="A57" s="23"/>
      <c r="B57" s="24"/>
      <c r="C57" s="1" t="s">
        <v>55</v>
      </c>
      <c r="H57" s="62">
        <f>IF(H$64=0," ",IF(H$8="M",H47/(1+(H64+H67)/100),H47*((H43*H21)+H13)/(H13+(H43*H21*(1+((H64+H67)/100))))))</f>
        <v>34.539879681738796</v>
      </c>
      <c r="I57" s="63" t="s">
        <v>21</v>
      </c>
      <c r="L57" s="55" t="s">
        <v>55</v>
      </c>
      <c r="Q57" s="62">
        <f>IF(Q$64=0," ",IF(Q$8="M",Q47/(1+(Q64+Q67)/100),Q47*((Q43*Q21)+Q13)/(Q13+(Q43*Q21*(1+((Q64+Q67)/100))))))</f>
        <v>34.590194264569845</v>
      </c>
      <c r="R57" s="63" t="s">
        <v>21</v>
      </c>
      <c r="T57" s="55" t="s">
        <v>56</v>
      </c>
      <c r="Y57" s="62">
        <f>IF(Y$64=0," ",IF(Y$8="M",Y47/(1+(Y64+Y67)/100),Y47*((Y43*Y21)+Y13)/(Y13+(Y43*Y21*(1+((Y64+Y67)/100))))))</f>
        <v>18.20135023876173</v>
      </c>
      <c r="Z57" s="63" t="s">
        <v>21</v>
      </c>
    </row>
    <row r="58" spans="1:26" ht="15.75">
      <c r="A58" s="23"/>
      <c r="B58" s="24"/>
      <c r="H58" s="12"/>
      <c r="I58" s="13"/>
      <c r="L58" s="12"/>
      <c r="Q58" s="12"/>
      <c r="R58" s="13"/>
      <c r="T58" s="12"/>
      <c r="Y58" s="12"/>
      <c r="Z58" s="13"/>
    </row>
    <row r="59" spans="1:26" ht="15.75">
      <c r="A59" s="23"/>
      <c r="B59" s="24"/>
      <c r="C59" s="1" t="s">
        <v>57</v>
      </c>
      <c r="H59" s="62">
        <f>IF(H$64=0," ",IF(H$8="M",(H18+((H64*H66+H67*H69)/100))/(1+(H64+H67)/100),(H18+(H64*H66+H67*H69)+H25/H44)/(1+(H64+H67)/100+1/H44)))</f>
        <v>29.710813118571707</v>
      </c>
      <c r="I59" s="63" t="s">
        <v>37</v>
      </c>
      <c r="L59" s="55" t="s">
        <v>57</v>
      </c>
      <c r="Q59" s="62">
        <f>IF(Q$64=0," ",IF(Q$8="M",(Q18+((Q64*Q66+Q67*Q69)/100))/(1+(Q64+Q67)/100),(Q18+(Q64*Q66+Q67*Q69)+Q25/Q44)/(1+(Q64+Q67)/100+1/Q44)))</f>
        <v>34.67024976873266</v>
      </c>
      <c r="R59" s="63" t="s">
        <v>37</v>
      </c>
      <c r="T59" s="55" t="s">
        <v>57</v>
      </c>
      <c r="Y59" s="62">
        <f>IF(Y$64=0," ",IF(Y$8="M",(Y18+((Y64*Y66+Y67*Y69)/100))/(1+(Y64+Y67)/100),(Y18+(Y64*Y66+Y67*Y69)+Y25/Y44)/(1+(Y64+Y67)/100+1/Y44)))</f>
        <v>66.67440869422032</v>
      </c>
      <c r="Z59" s="63" t="s">
        <v>37</v>
      </c>
    </row>
    <row r="60" spans="1:26" ht="15.75">
      <c r="A60" s="23"/>
      <c r="B60" s="24"/>
      <c r="C60" s="1" t="s">
        <v>58</v>
      </c>
      <c r="H60" s="62">
        <f>IF(H$64=0," ",H59/H55)</f>
        <v>30.908575918496553</v>
      </c>
      <c r="I60" s="63" t="s">
        <v>26</v>
      </c>
      <c r="L60" s="55" t="s">
        <v>58</v>
      </c>
      <c r="Q60" s="62">
        <f>IF(Q$64=0," ",Q59/Q55)</f>
        <v>35.52656823490157</v>
      </c>
      <c r="R60" s="63" t="s">
        <v>26</v>
      </c>
      <c r="T60" s="55" t="s">
        <v>58</v>
      </c>
      <c r="Y60" s="62">
        <f>IF(Y$64=0," ",Y59/Y55)</f>
        <v>71.37769706559263</v>
      </c>
      <c r="Z60" s="63" t="s">
        <v>26</v>
      </c>
    </row>
    <row r="61" spans="1:26" ht="15.75">
      <c r="A61" s="68"/>
      <c r="B61" s="69"/>
      <c r="C61" s="70"/>
      <c r="D61" s="18"/>
      <c r="E61" s="18"/>
      <c r="F61" s="18"/>
      <c r="G61" s="18"/>
      <c r="H61" s="17"/>
      <c r="I61" s="19"/>
      <c r="L61" s="17"/>
      <c r="M61" s="18"/>
      <c r="N61" s="18"/>
      <c r="O61" s="18"/>
      <c r="P61" s="18"/>
      <c r="Q61" s="17"/>
      <c r="R61" s="19"/>
      <c r="T61" s="17"/>
      <c r="U61" s="18"/>
      <c r="V61" s="18"/>
      <c r="W61" s="18"/>
      <c r="X61" s="18"/>
      <c r="Y61" s="17"/>
      <c r="Z61" s="19"/>
    </row>
    <row r="62" spans="1:9" ht="15.75">
      <c r="A62" s="26"/>
      <c r="B62" s="26"/>
      <c r="C62" s="18"/>
      <c r="D62" s="18"/>
      <c r="E62" s="18"/>
      <c r="F62" s="18"/>
      <c r="G62" s="18"/>
      <c r="H62" s="18"/>
      <c r="I62" s="18"/>
    </row>
    <row r="63" spans="1:26" ht="15.75">
      <c r="A63" s="59" t="s">
        <v>59</v>
      </c>
      <c r="B63" s="22"/>
      <c r="C63" s="15"/>
      <c r="D63" s="15"/>
      <c r="E63" s="15"/>
      <c r="F63" s="15"/>
      <c r="G63" s="15"/>
      <c r="H63" s="14"/>
      <c r="I63" s="16"/>
      <c r="L63" s="59" t="s">
        <v>59</v>
      </c>
      <c r="M63" s="22"/>
      <c r="N63" s="22"/>
      <c r="O63" s="22"/>
      <c r="P63" s="22"/>
      <c r="Q63" s="14"/>
      <c r="R63" s="16"/>
      <c r="S63" s="24"/>
      <c r="T63" s="59" t="s">
        <v>59</v>
      </c>
      <c r="U63" s="22"/>
      <c r="V63" s="15"/>
      <c r="W63" s="15"/>
      <c r="X63" s="15"/>
      <c r="Y63" s="14"/>
      <c r="Z63" s="16"/>
    </row>
    <row r="64" spans="1:26" ht="15.75">
      <c r="A64" s="23"/>
      <c r="B64" s="35" t="s">
        <v>32</v>
      </c>
      <c r="C64" s="1" t="s">
        <v>60</v>
      </c>
      <c r="H64" s="62">
        <f>IF(H32="",H31,H32*H13/H33)</f>
        <v>19.28240740740741</v>
      </c>
      <c r="I64" s="63" t="s">
        <v>21</v>
      </c>
      <c r="L64" s="47" t="s">
        <v>61</v>
      </c>
      <c r="M64" s="1" t="s">
        <v>60</v>
      </c>
      <c r="Q64" s="62">
        <f>IF(Q32="",Q31,Q32*Q13/Q33)</f>
        <v>12.604166666666668</v>
      </c>
      <c r="R64" s="63" t="s">
        <v>21</v>
      </c>
      <c r="T64" s="47" t="s">
        <v>61</v>
      </c>
      <c r="U64" s="1" t="s">
        <v>60</v>
      </c>
      <c r="Y64" s="62">
        <f>IF(Y32="",Y31,Y32*Y13/Y33)</f>
        <v>39.7698504027618</v>
      </c>
      <c r="Z64" s="63" t="s">
        <v>21</v>
      </c>
    </row>
    <row r="65" spans="1:26" ht="15.75">
      <c r="A65" s="23"/>
      <c r="B65" s="24"/>
      <c r="C65" s="1" t="s">
        <v>34</v>
      </c>
      <c r="H65" s="62">
        <f>H64*H33/H13</f>
        <v>17</v>
      </c>
      <c r="I65" s="63" t="s">
        <v>21</v>
      </c>
      <c r="L65" s="23"/>
      <c r="M65" s="1" t="s">
        <v>34</v>
      </c>
      <c r="Q65" s="62">
        <f>Q64*Q33/Q13</f>
        <v>11</v>
      </c>
      <c r="R65" s="63" t="s">
        <v>21</v>
      </c>
      <c r="T65" s="23"/>
      <c r="U65" s="1" t="s">
        <v>34</v>
      </c>
      <c r="Y65" s="62">
        <f>Y64*Y33/Y13</f>
        <v>36.00000000000001</v>
      </c>
      <c r="Z65" s="63" t="s">
        <v>21</v>
      </c>
    </row>
    <row r="66" spans="1:26" ht="15.75">
      <c r="A66" s="23"/>
      <c r="B66" s="24"/>
      <c r="C66" s="1" t="s">
        <v>62</v>
      </c>
      <c r="H66" s="62">
        <f>IF(H35="",H34,H35*H33)</f>
        <v>2.54</v>
      </c>
      <c r="I66" s="63" t="s">
        <v>37</v>
      </c>
      <c r="L66" s="23"/>
      <c r="M66" s="1" t="s">
        <v>62</v>
      </c>
      <c r="Q66" s="62">
        <f>IF(Q35="",Q34,Q35*Q33)</f>
        <v>2.54</v>
      </c>
      <c r="R66" s="63" t="s">
        <v>37</v>
      </c>
      <c r="T66" s="23"/>
      <c r="U66" s="1" t="s">
        <v>62</v>
      </c>
      <c r="Y66" s="62">
        <f>IF(Y35="",Y34,Y35*Y33)</f>
        <v>4.553</v>
      </c>
      <c r="Z66" s="63" t="s">
        <v>37</v>
      </c>
    </row>
    <row r="67" spans="1:26" ht="15.75">
      <c r="A67" s="23"/>
      <c r="B67" s="35" t="s">
        <v>39</v>
      </c>
      <c r="C67" s="1" t="s">
        <v>63</v>
      </c>
      <c r="H67" s="62">
        <f>IF(H38="",H37,H38*H13/H39)</f>
        <v>0</v>
      </c>
      <c r="I67" s="63" t="s">
        <v>21</v>
      </c>
      <c r="L67" s="47" t="s">
        <v>64</v>
      </c>
      <c r="M67" s="1" t="s">
        <v>63</v>
      </c>
      <c r="Q67" s="62">
        <f>IF(Q38="",Q37,Q38*Q13/Q39)</f>
        <v>0</v>
      </c>
      <c r="R67" s="63" t="s">
        <v>21</v>
      </c>
      <c r="T67" s="47" t="s">
        <v>64</v>
      </c>
      <c r="U67" s="1" t="s">
        <v>63</v>
      </c>
      <c r="Y67" s="62">
        <f>IF(Y38="",Y37,Y38*Y13/Y39)</f>
        <v>0</v>
      </c>
      <c r="Z67" s="63" t="s">
        <v>21</v>
      </c>
    </row>
    <row r="68" spans="1:26" ht="15.75">
      <c r="A68" s="23"/>
      <c r="B68" s="24"/>
      <c r="C68" s="1" t="s">
        <v>34</v>
      </c>
      <c r="H68" s="62">
        <f>H67*H39/H13</f>
        <v>0</v>
      </c>
      <c r="I68" s="63" t="s">
        <v>21</v>
      </c>
      <c r="L68" s="23"/>
      <c r="M68" s="1" t="s">
        <v>34</v>
      </c>
      <c r="Q68" s="62">
        <f>Q67*Q39/Q13</f>
        <v>0</v>
      </c>
      <c r="R68" s="63" t="s">
        <v>21</v>
      </c>
      <c r="T68" s="23"/>
      <c r="U68" s="1" t="s">
        <v>34</v>
      </c>
      <c r="Y68" s="62">
        <f>Y67*Y39/Y13</f>
        <v>0</v>
      </c>
      <c r="Z68" s="63" t="s">
        <v>21</v>
      </c>
    </row>
    <row r="69" spans="1:26" ht="15.75">
      <c r="A69" s="23"/>
      <c r="B69" s="24"/>
      <c r="C69" s="1" t="s">
        <v>62</v>
      </c>
      <c r="H69" s="62">
        <f>IF(H41="",H40,H41*H39)</f>
        <v>0</v>
      </c>
      <c r="I69" s="63" t="s">
        <v>37</v>
      </c>
      <c r="L69" s="23"/>
      <c r="M69" s="1" t="s">
        <v>62</v>
      </c>
      <c r="Q69" s="62">
        <f>IF(Q41="",Q40,Q41*Q39)</f>
        <v>0</v>
      </c>
      <c r="R69" s="63" t="s">
        <v>37</v>
      </c>
      <c r="T69" s="23"/>
      <c r="U69" s="1" t="s">
        <v>62</v>
      </c>
      <c r="Y69" s="62">
        <f>IF(Y41="",Y40,Y41*Y39)</f>
        <v>0</v>
      </c>
      <c r="Z69" s="63" t="s">
        <v>37</v>
      </c>
    </row>
    <row r="70" spans="1:26" ht="15.75">
      <c r="A70" s="23"/>
      <c r="B70" s="35" t="s">
        <v>18</v>
      </c>
      <c r="C70" s="1" t="s">
        <v>62</v>
      </c>
      <c r="H70" s="62">
        <f>IF(H18=0,H19,H18*H13)</f>
        <v>34.251000000000005</v>
      </c>
      <c r="I70" s="63" t="s">
        <v>37</v>
      </c>
      <c r="L70" s="47" t="s">
        <v>18</v>
      </c>
      <c r="M70" s="1" t="s">
        <v>62</v>
      </c>
      <c r="Q70" s="62">
        <f>IF(Q18=0,Q19,Q18*Q13)</f>
        <v>38.3328</v>
      </c>
      <c r="R70" s="63" t="s">
        <v>37</v>
      </c>
      <c r="T70" s="47" t="s">
        <v>18</v>
      </c>
      <c r="U70" s="1" t="s">
        <v>62</v>
      </c>
      <c r="Y70" s="62">
        <f>IF(Y18=0,Y19,Y18*Y13)</f>
        <v>87.72479999999999</v>
      </c>
      <c r="Z70" s="63" t="s">
        <v>37</v>
      </c>
    </row>
    <row r="71" spans="1:26" ht="15.75">
      <c r="A71" s="23"/>
      <c r="B71" s="35" t="s">
        <v>27</v>
      </c>
      <c r="C71" s="1" t="s">
        <v>62</v>
      </c>
      <c r="H71" s="62" t="str">
        <f>IF(H$8="M"," ",IF(H25=0,H26,H25*H21))</f>
        <v> </v>
      </c>
      <c r="I71" s="63" t="s">
        <v>37</v>
      </c>
      <c r="L71" s="47" t="s">
        <v>27</v>
      </c>
      <c r="M71" s="1" t="s">
        <v>62</v>
      </c>
      <c r="Q71" s="62" t="str">
        <f>IF(Q$8="M"," ",IF(Q25=0,Q26,Q25*Q21))</f>
        <v> </v>
      </c>
      <c r="R71" s="63" t="s">
        <v>37</v>
      </c>
      <c r="T71" s="47" t="s">
        <v>27</v>
      </c>
      <c r="U71" s="1" t="s">
        <v>62</v>
      </c>
      <c r="Y71" s="62" t="str">
        <f>IF(Y$8="M"," ",IF(Y25=0,Y26,Y25*Y21))</f>
        <v> </v>
      </c>
      <c r="Z71" s="63" t="s">
        <v>37</v>
      </c>
    </row>
    <row r="72" spans="1:26" ht="15.75">
      <c r="A72" s="23"/>
      <c r="B72" s="35" t="s">
        <v>65</v>
      </c>
      <c r="H72" s="12"/>
      <c r="I72" s="13"/>
      <c r="L72" s="47" t="s">
        <v>65</v>
      </c>
      <c r="Q72" s="12"/>
      <c r="R72" s="13"/>
      <c r="T72" s="47" t="s">
        <v>65</v>
      </c>
      <c r="Y72" s="12"/>
      <c r="Z72" s="13"/>
    </row>
    <row r="73" spans="1:26" ht="15.75">
      <c r="A73" s="23"/>
      <c r="B73" s="24"/>
      <c r="C73" s="1" t="s">
        <v>66</v>
      </c>
      <c r="H73" s="62">
        <f>IF(H$64=0," ",((H64+H67)/100))</f>
        <v>0.1928240740740741</v>
      </c>
      <c r="I73" s="13"/>
      <c r="L73" s="23"/>
      <c r="M73" s="1" t="s">
        <v>66</v>
      </c>
      <c r="Q73" s="62">
        <f>IF(Q$64=0," ",((Q64+Q67)/100))</f>
        <v>0.1260416666666667</v>
      </c>
      <c r="R73" s="13"/>
      <c r="T73" s="23"/>
      <c r="U73" s="1" t="s">
        <v>66</v>
      </c>
      <c r="Y73" s="62">
        <f>IF(Y$64=0," ",((Y64+Y67)/100))</f>
        <v>0.39769850402761797</v>
      </c>
      <c r="Z73" s="13"/>
    </row>
    <row r="74" spans="1:26" ht="15.75">
      <c r="A74" s="23"/>
      <c r="B74" s="24"/>
      <c r="C74" s="1" t="s">
        <v>67</v>
      </c>
      <c r="H74" s="62">
        <f>IF(H$64=0," ",(H64*H33+H67*H39)/100)</f>
        <v>0.1666</v>
      </c>
      <c r="I74" s="13"/>
      <c r="L74" s="12"/>
      <c r="M74" s="1" t="s">
        <v>67</v>
      </c>
      <c r="Q74" s="62">
        <f>IF(Q$64=0," ",(Q64*Q33+Q67*Q39)/100)</f>
        <v>0.10890000000000001</v>
      </c>
      <c r="R74" s="13"/>
      <c r="T74" s="12"/>
      <c r="U74" s="1" t="s">
        <v>67</v>
      </c>
      <c r="Y74" s="62">
        <f>IF(Y$64=0," ",(Y64*Y33+Y67*Y39)/100)</f>
        <v>0.3456</v>
      </c>
      <c r="Z74" s="13"/>
    </row>
    <row r="75" spans="1:26" ht="15.75">
      <c r="A75" s="23"/>
      <c r="B75" s="24"/>
      <c r="C75" s="1" t="s">
        <v>68</v>
      </c>
      <c r="H75" s="62">
        <f>IF(H$64=0," ",(H66*H64+H69*H67)/100)</f>
        <v>0.4897731481481482</v>
      </c>
      <c r="I75" s="13"/>
      <c r="L75" s="12"/>
      <c r="M75" s="1" t="s">
        <v>68</v>
      </c>
      <c r="Q75" s="62">
        <f>IF(Q$64=0," ",(Q66*Q64+Q69*Q67)/100)</f>
        <v>0.32014583333333335</v>
      </c>
      <c r="R75" s="13"/>
      <c r="T75" s="12"/>
      <c r="U75" s="1" t="s">
        <v>68</v>
      </c>
      <c r="Y75" s="62">
        <f>IF(Y$64=0," ",(Y66*Y64+Y69*Y67)/100)</f>
        <v>1.8107212888377446</v>
      </c>
      <c r="Z75" s="13"/>
    </row>
    <row r="76" spans="1:26" ht="15.75">
      <c r="A76" s="25"/>
      <c r="B76" s="26"/>
      <c r="C76" s="18"/>
      <c r="D76" s="18"/>
      <c r="E76" s="18"/>
      <c r="F76" s="18"/>
      <c r="G76" s="18"/>
      <c r="H76" s="17"/>
      <c r="I76" s="19"/>
      <c r="L76" s="12"/>
      <c r="Q76" s="12"/>
      <c r="R76" s="13"/>
      <c r="T76" s="12"/>
      <c r="Y76" s="17"/>
      <c r="Z76" s="19"/>
    </row>
    <row r="77" spans="1:26" ht="15.75">
      <c r="A77" s="59" t="s">
        <v>69</v>
      </c>
      <c r="B77" s="22"/>
      <c r="C77" s="15"/>
      <c r="D77" s="15"/>
      <c r="E77" s="15"/>
      <c r="F77" s="15"/>
      <c r="G77" s="15"/>
      <c r="H77" s="15"/>
      <c r="I77" s="16"/>
      <c r="L77" s="59" t="s">
        <v>70</v>
      </c>
      <c r="M77" s="22"/>
      <c r="N77" s="22"/>
      <c r="O77" s="22"/>
      <c r="P77" s="22"/>
      <c r="Q77" s="22"/>
      <c r="R77" s="27"/>
      <c r="S77" s="24"/>
      <c r="T77" s="59" t="s">
        <v>70</v>
      </c>
      <c r="U77" s="22"/>
      <c r="V77" s="15"/>
      <c r="W77" s="15"/>
      <c r="X77" s="15"/>
      <c r="Z77" s="13"/>
    </row>
    <row r="78" spans="1:26" ht="15.75">
      <c r="A78" s="23"/>
      <c r="B78" s="24"/>
      <c r="D78" s="1" t="s">
        <v>71</v>
      </c>
      <c r="G78" s="7">
        <v>40</v>
      </c>
      <c r="H78" s="1" t="s">
        <v>72</v>
      </c>
      <c r="I78" s="13"/>
      <c r="L78" s="12"/>
      <c r="M78" s="1" t="s">
        <v>71</v>
      </c>
      <c r="P78" s="7">
        <v>32</v>
      </c>
      <c r="Q78" s="8" t="s">
        <v>72</v>
      </c>
      <c r="R78" s="71"/>
      <c r="S78" s="4"/>
      <c r="T78" s="72"/>
      <c r="U78" s="1" t="s">
        <v>71</v>
      </c>
      <c r="V78" s="4"/>
      <c r="W78" s="4"/>
      <c r="X78" s="7">
        <v>22.4</v>
      </c>
      <c r="Y78" s="1" t="s">
        <v>72</v>
      </c>
      <c r="Z78" s="13"/>
    </row>
    <row r="79" spans="1:26" ht="15.75">
      <c r="A79" s="23"/>
      <c r="B79" s="24"/>
      <c r="D79" s="1" t="s">
        <v>73</v>
      </c>
      <c r="G79" s="7">
        <v>1</v>
      </c>
      <c r="H79" s="1" t="s">
        <v>74</v>
      </c>
      <c r="I79" s="13"/>
      <c r="L79" s="12"/>
      <c r="M79" s="1" t="s">
        <v>73</v>
      </c>
      <c r="P79" s="7">
        <f>G79</f>
        <v>1</v>
      </c>
      <c r="Q79" s="8" t="s">
        <v>74</v>
      </c>
      <c r="R79" s="71"/>
      <c r="S79" s="4"/>
      <c r="T79" s="72"/>
      <c r="U79" s="1" t="s">
        <v>73</v>
      </c>
      <c r="V79" s="4"/>
      <c r="W79" s="4"/>
      <c r="X79" s="7">
        <f>G79</f>
        <v>1</v>
      </c>
      <c r="Y79" s="1" t="s">
        <v>74</v>
      </c>
      <c r="Z79" s="13"/>
    </row>
    <row r="80" spans="1:26" ht="15.75">
      <c r="A80" s="23"/>
      <c r="B80" s="24"/>
      <c r="D80" s="1" t="s">
        <v>75</v>
      </c>
      <c r="G80" s="3">
        <v>0.162</v>
      </c>
      <c r="H80" s="1" t="s">
        <v>76</v>
      </c>
      <c r="I80" s="13"/>
      <c r="L80" s="12"/>
      <c r="M80" s="1" t="s">
        <v>77</v>
      </c>
      <c r="P80" s="6">
        <f>IF(Q8="M",(G83*P78*Q48*P79*0.1)/(G78*Q14),(G83*P78*Q48*P79*0.1)/(G78*Q46)*(Q43/(1+Q43)))</f>
        <v>0.13848536323386862</v>
      </c>
      <c r="Q80" s="1" t="s">
        <v>76</v>
      </c>
      <c r="R80" s="13"/>
      <c r="T80" s="12"/>
      <c r="U80" s="1" t="s">
        <v>77</v>
      </c>
      <c r="X80" s="6">
        <f>IF(Y8="M",(G83*X78*Y48*X79*0.1)/(G78*Y14),(G83*X78*Y48*X79*0.1)/(G78*Y46)*(Y43/(1+Y43)))</f>
        <v>0.143922371967655</v>
      </c>
      <c r="Y80" s="1" t="s">
        <v>76</v>
      </c>
      <c r="Z80" s="13"/>
    </row>
    <row r="81" spans="1:26" ht="15.75">
      <c r="A81" s="23"/>
      <c r="B81" s="24"/>
      <c r="D81" s="1" t="s">
        <v>78</v>
      </c>
      <c r="G81" s="3"/>
      <c r="H81" s="1" t="s">
        <v>76</v>
      </c>
      <c r="I81" s="13"/>
      <c r="L81" s="12"/>
      <c r="M81" s="1" t="s">
        <v>78</v>
      </c>
      <c r="P81" s="6" t="str">
        <f>IF(Q8="M"," ",(G83*P78*Q48*P79*0.1)/(G78*Q46)/(1+Q43))</f>
        <v> </v>
      </c>
      <c r="Q81" s="1" t="s">
        <v>76</v>
      </c>
      <c r="R81" s="13"/>
      <c r="T81" s="12"/>
      <c r="U81" s="1" t="s">
        <v>78</v>
      </c>
      <c r="X81" s="6">
        <f>IF(Y8="M","",(G83*X78*Y48*X79*0.1)/(G78*Y46)/(1+Y43))</f>
      </c>
      <c r="Y81" s="1" t="s">
        <v>76</v>
      </c>
      <c r="Z81" s="13"/>
    </row>
    <row r="82" spans="1:26" ht="15.75">
      <c r="A82" s="23"/>
      <c r="B82" s="24"/>
      <c r="D82" s="1" t="s">
        <v>79</v>
      </c>
      <c r="G82" s="5" t="str">
        <f>IF(H$8="M"," ",G80/G81)</f>
        <v> </v>
      </c>
      <c r="I82" s="13"/>
      <c r="L82" s="12"/>
      <c r="M82" s="1" t="s">
        <v>79</v>
      </c>
      <c r="P82" s="6" t="str">
        <f>IF(Q8="M"," ",P80/P81)</f>
        <v> </v>
      </c>
      <c r="R82" s="13"/>
      <c r="T82" s="12"/>
      <c r="U82" s="1" t="s">
        <v>79</v>
      </c>
      <c r="X82" s="6" t="str">
        <f>IF(Y8="M"," ",X80/X81)</f>
        <v> </v>
      </c>
      <c r="Z82" s="13"/>
    </row>
    <row r="83" spans="1:26" ht="16.5" thickBot="1">
      <c r="A83" s="17"/>
      <c r="B83" s="18"/>
      <c r="C83" s="18"/>
      <c r="D83" s="57" t="s">
        <v>80</v>
      </c>
      <c r="E83" s="18"/>
      <c r="F83" s="18"/>
      <c r="G83" s="73">
        <f>IF(H$8="M",G80*H14/(H48*G79*100)/0.001,(G80*H14+G81*H22)/(H48*G79*0.1))</f>
        <v>68.10612244897959</v>
      </c>
      <c r="H83" s="57" t="s">
        <v>81</v>
      </c>
      <c r="I83" s="19"/>
      <c r="L83" s="17"/>
      <c r="M83" s="57" t="s">
        <v>80</v>
      </c>
      <c r="N83" s="18"/>
      <c r="O83" s="18"/>
      <c r="P83" s="73">
        <f>IF(Q$8="M",P80*Q14/(Q48*P79*100)/0.001,(P80*Q14+P81*Q22)/(Q48*P79*0.1))</f>
        <v>54.48489795918368</v>
      </c>
      <c r="Q83" s="57" t="s">
        <v>81</v>
      </c>
      <c r="R83" s="19"/>
      <c r="T83" s="17"/>
      <c r="U83" s="57" t="s">
        <v>80</v>
      </c>
      <c r="V83" s="18"/>
      <c r="W83" s="18"/>
      <c r="X83" s="73">
        <f>IF(Y$8="M",X80*Y14/(Y48*X79*100)/0.001,(X80*Y14+X81*Y22)/(Y48*X79*0.1))</f>
        <v>38.139428571428574</v>
      </c>
      <c r="Y83" s="57" t="s">
        <v>81</v>
      </c>
      <c r="Z83" s="19"/>
    </row>
    <row r="84" spans="1:26" ht="16.5" thickTop="1">
      <c r="A84" s="74" t="s">
        <v>82</v>
      </c>
      <c r="B84" s="31"/>
      <c r="C84" s="75" t="s">
        <v>83</v>
      </c>
      <c r="D84" s="32"/>
      <c r="E84" s="76" t="s">
        <v>84</v>
      </c>
      <c r="F84" s="77" t="s">
        <v>85</v>
      </c>
      <c r="G84" s="32"/>
      <c r="H84" s="75" t="s">
        <v>86</v>
      </c>
      <c r="I84" s="32"/>
      <c r="J84" s="32"/>
      <c r="K84" s="33"/>
      <c r="L84" s="75" t="s">
        <v>87</v>
      </c>
      <c r="M84" s="32"/>
      <c r="N84" s="78" t="s">
        <v>84</v>
      </c>
      <c r="O84" s="75" t="s">
        <v>85</v>
      </c>
      <c r="P84" s="32"/>
      <c r="Q84" s="75" t="s">
        <v>88</v>
      </c>
      <c r="R84" s="33"/>
      <c r="S84" s="24"/>
      <c r="T84" s="75" t="s">
        <v>87</v>
      </c>
      <c r="U84" s="32"/>
      <c r="V84" s="78" t="s">
        <v>84</v>
      </c>
      <c r="W84" s="75" t="s">
        <v>85</v>
      </c>
      <c r="X84" s="32"/>
      <c r="Y84" s="75" t="s">
        <v>88</v>
      </c>
      <c r="Z84" s="33"/>
    </row>
    <row r="85" spans="1:32" ht="15.75">
      <c r="A85" s="56" t="s">
        <v>89</v>
      </c>
      <c r="B85" s="56" t="s">
        <v>90</v>
      </c>
      <c r="C85" s="56" t="s">
        <v>91</v>
      </c>
      <c r="D85" s="56" t="s">
        <v>92</v>
      </c>
      <c r="E85" s="79" t="s">
        <v>93</v>
      </c>
      <c r="F85" s="54" t="s">
        <v>94</v>
      </c>
      <c r="G85" s="56" t="s">
        <v>95</v>
      </c>
      <c r="H85" s="80" t="s">
        <v>96</v>
      </c>
      <c r="I85" s="81" t="s">
        <v>97</v>
      </c>
      <c r="J85" s="82" t="s">
        <v>98</v>
      </c>
      <c r="K85" s="30"/>
      <c r="L85" s="56" t="s">
        <v>91</v>
      </c>
      <c r="M85" s="56" t="s">
        <v>92</v>
      </c>
      <c r="N85" s="79" t="s">
        <v>93</v>
      </c>
      <c r="O85" s="54" t="s">
        <v>94</v>
      </c>
      <c r="P85" s="56" t="s">
        <v>95</v>
      </c>
      <c r="Q85" s="56" t="s">
        <v>94</v>
      </c>
      <c r="R85" s="79" t="s">
        <v>95</v>
      </c>
      <c r="T85" s="56" t="s">
        <v>91</v>
      </c>
      <c r="U85" s="56" t="s">
        <v>92</v>
      </c>
      <c r="V85" s="79" t="s">
        <v>93</v>
      </c>
      <c r="W85" s="54" t="s">
        <v>94</v>
      </c>
      <c r="X85" s="56" t="s">
        <v>95</v>
      </c>
      <c r="Y85" s="56" t="s">
        <v>94</v>
      </c>
      <c r="Z85" s="79" t="s">
        <v>95</v>
      </c>
      <c r="AB85" s="5" t="str">
        <f>H85</f>
        <v>Sochaux</v>
      </c>
      <c r="AD85" s="5" t="str">
        <f>I85</f>
        <v>Mulh.</v>
      </c>
      <c r="AF85" s="5" t="str">
        <f>J85</f>
        <v>Poissy</v>
      </c>
    </row>
    <row r="86" spans="1:32" ht="15.75">
      <c r="A86" s="17"/>
      <c r="B86" s="83" t="s">
        <v>99</v>
      </c>
      <c r="C86" s="83" t="s">
        <v>100</v>
      </c>
      <c r="D86" s="83" t="s">
        <v>100</v>
      </c>
      <c r="E86" s="84" t="s">
        <v>100</v>
      </c>
      <c r="F86" s="85" t="s">
        <v>101</v>
      </c>
      <c r="G86" s="83" t="s">
        <v>101</v>
      </c>
      <c r="H86" s="83" t="s">
        <v>102</v>
      </c>
      <c r="I86" s="84" t="s">
        <v>102</v>
      </c>
      <c r="J86" s="86" t="s">
        <v>102</v>
      </c>
      <c r="K86" s="29"/>
      <c r="L86" s="83" t="s">
        <v>100</v>
      </c>
      <c r="M86" s="83" t="s">
        <v>100</v>
      </c>
      <c r="N86" s="84" t="s">
        <v>100</v>
      </c>
      <c r="O86" s="85" t="s">
        <v>101</v>
      </c>
      <c r="P86" s="83" t="s">
        <v>101</v>
      </c>
      <c r="Q86" s="83" t="s">
        <v>101</v>
      </c>
      <c r="R86" s="84" t="s">
        <v>101</v>
      </c>
      <c r="S86" s="18"/>
      <c r="T86" s="83" t="s">
        <v>100</v>
      </c>
      <c r="U86" s="83" t="s">
        <v>100</v>
      </c>
      <c r="V86" s="84" t="s">
        <v>100</v>
      </c>
      <c r="W86" s="85" t="s">
        <v>101</v>
      </c>
      <c r="X86" s="83" t="s">
        <v>101</v>
      </c>
      <c r="Y86" s="83" t="s">
        <v>101</v>
      </c>
      <c r="Z86" s="84" t="s">
        <v>101</v>
      </c>
      <c r="AB86" s="1" t="s">
        <v>103</v>
      </c>
      <c r="AD86" s="1" t="s">
        <v>103</v>
      </c>
      <c r="AF86" s="1" t="s">
        <v>103</v>
      </c>
    </row>
    <row r="87" spans="1:33" ht="15.75">
      <c r="A87" s="66" t="s">
        <v>104</v>
      </c>
      <c r="B87" s="87">
        <v>1</v>
      </c>
      <c r="C87" s="72">
        <f aca="true" t="shared" si="0" ref="C87:C105">$G$80*$B87/G$79</f>
        <v>0.162</v>
      </c>
      <c r="D87" s="72">
        <f aca="true" t="shared" si="1" ref="D87:D105">$G$81*$B87/G$79</f>
        <v>0</v>
      </c>
      <c r="E87" s="88">
        <f aca="true" t="shared" si="2" ref="E87:E105">IF(H$9="S",C87*(100-H$14)/100+D87*(100-H$22)/100,(C87*H$15+D87*H$23)/100)</f>
        <v>0.08748000000000002</v>
      </c>
      <c r="F87" s="9">
        <f aca="true" t="shared" si="3" ref="F87:F105">IF(H$8="M",C87*H$18,(C87*H$18)+(D87*H$71))</f>
        <v>5.661900000000001</v>
      </c>
      <c r="G87" s="89">
        <f aca="true" t="shared" si="4" ref="G87:G105">IF(H$64=0,F87,F87+C87/H$13*H$75)</f>
        <v>5.742862500000001</v>
      </c>
      <c r="H87" s="90"/>
      <c r="I87" s="91"/>
      <c r="J87" s="10"/>
      <c r="K87" s="13"/>
      <c r="L87" s="72">
        <f aca="true" t="shared" si="5" ref="L87:L105">$P$80*$B87/P$79</f>
        <v>0.13848536323386862</v>
      </c>
      <c r="M87" s="72">
        <f aca="true" t="shared" si="6" ref="M87:M105">$P$81*$B87/P$79</f>
        <v>0</v>
      </c>
      <c r="N87" s="88">
        <f aca="true" t="shared" si="7" ref="N87:N105">IF(Q$9="S",L87*(100-Q$14)/100+M87*(100-Q$22)/100,(L87*Q$15+M87*Q$23)/100)</f>
        <v>0.07685937659479708</v>
      </c>
      <c r="O87" s="9">
        <f aca="true" t="shared" si="8" ref="O87:O105">IF(Q$8="M",L87*Q$18,(L87*Q$18)+(M87*Q$71))</f>
        <v>5.362153264415393</v>
      </c>
      <c r="P87" s="89">
        <f aca="true" t="shared" si="9" ref="P87:P105">IF(Q$64=0,O87,O87+L87/Q$13*Q$75)</f>
        <v>5.406936609887086</v>
      </c>
      <c r="Q87" s="89">
        <f aca="true" t="shared" si="10" ref="Q87:R105">O87-F87</f>
        <v>-0.2997467355846082</v>
      </c>
      <c r="R87" s="92">
        <f t="shared" si="10"/>
        <v>-0.3359258901129154</v>
      </c>
      <c r="T87" s="72">
        <f aca="true" t="shared" si="11" ref="T87:T105">$X$80*$B87/X$79</f>
        <v>0.143922371967655</v>
      </c>
      <c r="U87" s="72">
        <f aca="true" t="shared" si="12" ref="U87:U105">$X$81*$B87/X$79</f>
        <v>0</v>
      </c>
      <c r="V87" s="88">
        <f aca="true" t="shared" si="13" ref="V87:V105">IF(Y$9="S",T87*(100-Y$14)/100+U87*(100-Y$22)/100,(T87*Y$15+U87*Y$23)/100)</f>
        <v>0.10060173800539086</v>
      </c>
      <c r="W87" s="9">
        <f aca="true" t="shared" si="14" ref="W87:W105">IF(Y$8="M",T87*Y$18,(T87*Y$18)+(U87*Y$71))</f>
        <v>13.151626350404314</v>
      </c>
      <c r="X87" s="89">
        <f aca="true" t="shared" si="15" ref="X87:X105">IF(Y$64=0,W87,W87+T87/Y$13*Y$75)</f>
        <v>13.423088124218749</v>
      </c>
      <c r="Y87" s="89">
        <f aca="true" t="shared" si="16" ref="Y87:Z105">W87-F87</f>
        <v>7.489726350404313</v>
      </c>
      <c r="Z87" s="92">
        <f t="shared" si="16"/>
        <v>7.680225624218748</v>
      </c>
      <c r="AB87" s="9">
        <f aca="true" t="shared" si="17" ref="AB87:AB105">IF(H87=0,"",H87*B87/1000)</f>
      </c>
      <c r="AC87" s="4"/>
      <c r="AD87" s="9">
        <f aca="true" t="shared" si="18" ref="AD87:AD105">IF(I87=0,"",I87*B87/1000)</f>
      </c>
      <c r="AE87" s="4"/>
      <c r="AF87" s="9">
        <f aca="true" t="shared" si="19" ref="AF87:AF105">IF(J87=0,"",J87*B87/1000)</f>
      </c>
      <c r="AG87" s="4"/>
    </row>
    <row r="88" spans="1:33" ht="15.75">
      <c r="A88" s="66" t="s">
        <v>105</v>
      </c>
      <c r="B88" s="87">
        <v>9.301</v>
      </c>
      <c r="C88" s="72">
        <f t="shared" si="0"/>
        <v>1.5067620000000002</v>
      </c>
      <c r="D88" s="72">
        <f t="shared" si="1"/>
        <v>0</v>
      </c>
      <c r="E88" s="88">
        <f t="shared" si="2"/>
        <v>0.8136514800000001</v>
      </c>
      <c r="F88" s="9">
        <f t="shared" si="3"/>
        <v>52.66133190000001</v>
      </c>
      <c r="G88" s="89">
        <f t="shared" si="4"/>
        <v>53.41436411250001</v>
      </c>
      <c r="H88" s="90"/>
      <c r="I88" s="91">
        <v>974</v>
      </c>
      <c r="J88" s="10"/>
      <c r="K88" s="13"/>
      <c r="L88" s="72">
        <f t="shared" si="5"/>
        <v>1.288052363438212</v>
      </c>
      <c r="M88" s="72">
        <f t="shared" si="6"/>
        <v>0</v>
      </c>
      <c r="N88" s="88">
        <f t="shared" si="7"/>
        <v>0.7148690617082076</v>
      </c>
      <c r="O88" s="9">
        <f t="shared" si="8"/>
        <v>49.87338751232757</v>
      </c>
      <c r="P88" s="89">
        <f t="shared" si="9"/>
        <v>50.28991740855979</v>
      </c>
      <c r="Q88" s="89">
        <f t="shared" si="10"/>
        <v>-2.7879443876724395</v>
      </c>
      <c r="R88" s="92">
        <f t="shared" si="10"/>
        <v>-3.1244467039402224</v>
      </c>
      <c r="T88" s="72">
        <f t="shared" si="11"/>
        <v>1.3386219816711593</v>
      </c>
      <c r="U88" s="72">
        <f t="shared" si="12"/>
        <v>0</v>
      </c>
      <c r="V88" s="88">
        <f t="shared" si="13"/>
        <v>0.9356967651881405</v>
      </c>
      <c r="W88" s="9">
        <f t="shared" si="14"/>
        <v>122.32327668511053</v>
      </c>
      <c r="X88" s="89">
        <f t="shared" si="15"/>
        <v>124.84814264335859</v>
      </c>
      <c r="Y88" s="89">
        <f t="shared" si="16"/>
        <v>69.66194478511052</v>
      </c>
      <c r="Z88" s="92">
        <f t="shared" si="16"/>
        <v>71.43377853085858</v>
      </c>
      <c r="AB88" s="9">
        <f t="shared" si="17"/>
      </c>
      <c r="AC88" s="4"/>
      <c r="AD88" s="9">
        <f t="shared" si="18"/>
        <v>9.059174</v>
      </c>
      <c r="AE88" s="4"/>
      <c r="AF88" s="9">
        <f t="shared" si="19"/>
      </c>
      <c r="AG88" s="4"/>
    </row>
    <row r="89" spans="1:33" ht="15.75">
      <c r="A89" s="66" t="s">
        <v>106</v>
      </c>
      <c r="B89" s="87">
        <v>9.48</v>
      </c>
      <c r="C89" s="72">
        <f t="shared" si="0"/>
        <v>1.53576</v>
      </c>
      <c r="D89" s="72">
        <f t="shared" si="1"/>
        <v>0</v>
      </c>
      <c r="E89" s="88">
        <f t="shared" si="2"/>
        <v>0.8293104</v>
      </c>
      <c r="F89" s="9">
        <f t="shared" si="3"/>
        <v>53.674812</v>
      </c>
      <c r="G89" s="89">
        <f t="shared" si="4"/>
        <v>54.4423365</v>
      </c>
      <c r="H89" s="90"/>
      <c r="I89" s="91">
        <v>526</v>
      </c>
      <c r="J89" s="10"/>
      <c r="K89" s="13"/>
      <c r="L89" s="72">
        <f t="shared" si="5"/>
        <v>1.3128412434570746</v>
      </c>
      <c r="M89" s="72">
        <f t="shared" si="6"/>
        <v>0</v>
      </c>
      <c r="N89" s="88">
        <f t="shared" si="7"/>
        <v>0.7286268901186764</v>
      </c>
      <c r="O89" s="9">
        <f t="shared" si="8"/>
        <v>50.83321294665793</v>
      </c>
      <c r="P89" s="89">
        <f t="shared" si="9"/>
        <v>51.25775906172958</v>
      </c>
      <c r="Q89" s="89">
        <f t="shared" si="10"/>
        <v>-2.8415990533420725</v>
      </c>
      <c r="R89" s="92">
        <f t="shared" si="10"/>
        <v>-3.1845774382704235</v>
      </c>
      <c r="T89" s="72">
        <f t="shared" si="11"/>
        <v>1.3643840862533696</v>
      </c>
      <c r="U89" s="72">
        <f t="shared" si="12"/>
        <v>0</v>
      </c>
      <c r="V89" s="88">
        <f t="shared" si="13"/>
        <v>0.9537044762911054</v>
      </c>
      <c r="W89" s="9">
        <f t="shared" si="14"/>
        <v>124.6774178018329</v>
      </c>
      <c r="X89" s="89">
        <f t="shared" si="15"/>
        <v>127.25087541759375</v>
      </c>
      <c r="Y89" s="89">
        <f t="shared" si="16"/>
        <v>71.0026058018329</v>
      </c>
      <c r="Z89" s="92">
        <f t="shared" si="16"/>
        <v>72.80853891759375</v>
      </c>
      <c r="AB89" s="9">
        <f t="shared" si="17"/>
      </c>
      <c r="AC89" s="4"/>
      <c r="AD89" s="9">
        <f t="shared" si="18"/>
        <v>4.98648</v>
      </c>
      <c r="AE89" s="4"/>
      <c r="AF89" s="9">
        <f t="shared" si="19"/>
      </c>
      <c r="AG89" s="4"/>
    </row>
    <row r="90" spans="1:33" ht="15.75">
      <c r="A90" s="102" t="s">
        <v>107</v>
      </c>
      <c r="B90" s="87">
        <v>15.399</v>
      </c>
      <c r="C90" s="72">
        <f t="shared" si="0"/>
        <v>2.494638</v>
      </c>
      <c r="D90" s="72">
        <f t="shared" si="1"/>
        <v>0</v>
      </c>
      <c r="E90" s="88">
        <f t="shared" si="2"/>
        <v>1.34710452</v>
      </c>
      <c r="F90" s="9">
        <f t="shared" si="3"/>
        <v>87.18759810000002</v>
      </c>
      <c r="G90" s="89">
        <f t="shared" si="4"/>
        <v>88.43433963750002</v>
      </c>
      <c r="H90" s="90">
        <v>407</v>
      </c>
      <c r="I90" s="91"/>
      <c r="J90" s="10"/>
      <c r="K90" s="13"/>
      <c r="L90" s="72">
        <f t="shared" si="5"/>
        <v>2.1325361084383427</v>
      </c>
      <c r="M90" s="72">
        <f t="shared" si="6"/>
        <v>0</v>
      </c>
      <c r="N90" s="88">
        <f t="shared" si="7"/>
        <v>1.1835575401832803</v>
      </c>
      <c r="O90" s="9">
        <f t="shared" si="8"/>
        <v>82.57179811873263</v>
      </c>
      <c r="P90" s="89">
        <f t="shared" si="9"/>
        <v>83.26141685565123</v>
      </c>
      <c r="Q90" s="89">
        <f t="shared" si="10"/>
        <v>-4.615799981267386</v>
      </c>
      <c r="R90" s="92">
        <f t="shared" si="10"/>
        <v>-5.172922781848783</v>
      </c>
      <c r="T90" s="72">
        <f t="shared" si="11"/>
        <v>2.2162606059299192</v>
      </c>
      <c r="U90" s="72">
        <f t="shared" si="12"/>
        <v>0</v>
      </c>
      <c r="V90" s="88">
        <f t="shared" si="13"/>
        <v>1.5491661635450138</v>
      </c>
      <c r="W90" s="9">
        <f t="shared" si="14"/>
        <v>202.52189416987602</v>
      </c>
      <c r="X90" s="89">
        <f t="shared" si="15"/>
        <v>206.7021340248445</v>
      </c>
      <c r="Y90" s="89">
        <f t="shared" si="16"/>
        <v>115.334296069876</v>
      </c>
      <c r="Z90" s="92">
        <f t="shared" si="16"/>
        <v>118.26779438734448</v>
      </c>
      <c r="AB90" s="9">
        <f t="shared" si="17"/>
        <v>6.267393</v>
      </c>
      <c r="AC90" s="4"/>
      <c r="AD90" s="9">
        <f t="shared" si="18"/>
      </c>
      <c r="AE90" s="4"/>
      <c r="AF90" s="9">
        <f t="shared" si="19"/>
      </c>
      <c r="AG90" s="4"/>
    </row>
    <row r="91" spans="1:33" ht="15.75">
      <c r="A91" s="102" t="s">
        <v>152</v>
      </c>
      <c r="B91" s="87">
        <v>15.798</v>
      </c>
      <c r="C91" s="72">
        <f t="shared" si="0"/>
        <v>2.559276</v>
      </c>
      <c r="D91" s="72">
        <f t="shared" si="1"/>
        <v>0</v>
      </c>
      <c r="E91" s="88">
        <f t="shared" si="2"/>
        <v>1.38200904</v>
      </c>
      <c r="F91" s="9">
        <f t="shared" si="3"/>
        <v>89.4466962</v>
      </c>
      <c r="G91" s="89">
        <f t="shared" si="4"/>
        <v>90.725741775</v>
      </c>
      <c r="H91" s="90">
        <v>147</v>
      </c>
      <c r="I91" s="91"/>
      <c r="J91" s="10"/>
      <c r="K91" s="13"/>
      <c r="L91" s="72">
        <f t="shared" si="5"/>
        <v>2.1877917683686565</v>
      </c>
      <c r="M91" s="72">
        <f t="shared" si="6"/>
        <v>0</v>
      </c>
      <c r="N91" s="88">
        <f t="shared" si="7"/>
        <v>1.2142244314446042</v>
      </c>
      <c r="O91" s="9">
        <f t="shared" si="8"/>
        <v>84.71129727123437</v>
      </c>
      <c r="P91" s="89">
        <f t="shared" si="9"/>
        <v>85.41878456299618</v>
      </c>
      <c r="Q91" s="89">
        <f t="shared" si="10"/>
        <v>-4.735398928765633</v>
      </c>
      <c r="R91" s="92">
        <f t="shared" si="10"/>
        <v>-5.306957212003823</v>
      </c>
      <c r="T91" s="72">
        <f t="shared" si="11"/>
        <v>2.2736856323450136</v>
      </c>
      <c r="U91" s="72">
        <f t="shared" si="12"/>
        <v>0</v>
      </c>
      <c r="V91" s="88">
        <f t="shared" si="13"/>
        <v>1.5893062570091647</v>
      </c>
      <c r="W91" s="9">
        <f t="shared" si="14"/>
        <v>207.76939308368733</v>
      </c>
      <c r="X91" s="89">
        <f t="shared" si="15"/>
        <v>212.05794618640778</v>
      </c>
      <c r="Y91" s="89">
        <f t="shared" si="16"/>
        <v>118.32269688368733</v>
      </c>
      <c r="Z91" s="92">
        <f t="shared" si="16"/>
        <v>121.33220441140777</v>
      </c>
      <c r="AB91" s="9">
        <f t="shared" si="17"/>
        <v>2.322306</v>
      </c>
      <c r="AC91" s="4"/>
      <c r="AD91" s="9">
        <f t="shared" si="18"/>
      </c>
      <c r="AE91" s="4"/>
      <c r="AF91" s="9">
        <f t="shared" si="19"/>
      </c>
      <c r="AG91" s="4"/>
    </row>
    <row r="92" spans="1:33" ht="15.75">
      <c r="A92" s="66" t="s">
        <v>153</v>
      </c>
      <c r="B92" s="87">
        <v>14.11</v>
      </c>
      <c r="C92" s="72">
        <f t="shared" si="0"/>
        <v>2.28582</v>
      </c>
      <c r="D92" s="72">
        <f t="shared" si="1"/>
        <v>0</v>
      </c>
      <c r="E92" s="88">
        <f t="shared" si="2"/>
        <v>1.2343428</v>
      </c>
      <c r="F92" s="9">
        <f t="shared" si="3"/>
        <v>79.88940900000001</v>
      </c>
      <c r="G92" s="89">
        <f t="shared" si="4"/>
        <v>81.03178987500002</v>
      </c>
      <c r="H92" s="90">
        <v>486</v>
      </c>
      <c r="I92" s="91"/>
      <c r="J92" s="10"/>
      <c r="K92" s="13"/>
      <c r="L92" s="72">
        <f t="shared" si="5"/>
        <v>1.9540284752298862</v>
      </c>
      <c r="M92" s="72">
        <f t="shared" si="6"/>
        <v>0</v>
      </c>
      <c r="N92" s="88">
        <f t="shared" si="7"/>
        <v>1.0844858037525869</v>
      </c>
      <c r="O92" s="9">
        <f t="shared" si="8"/>
        <v>75.6599825609012</v>
      </c>
      <c r="P92" s="89">
        <f t="shared" si="9"/>
        <v>76.29187556550679</v>
      </c>
      <c r="Q92" s="89">
        <f t="shared" si="10"/>
        <v>-4.229426439098816</v>
      </c>
      <c r="R92" s="92">
        <f t="shared" si="10"/>
        <v>-4.73991430949323</v>
      </c>
      <c r="T92" s="72">
        <f t="shared" si="11"/>
        <v>2.030744668463612</v>
      </c>
      <c r="U92" s="72">
        <f t="shared" si="12"/>
        <v>0</v>
      </c>
      <c r="V92" s="88">
        <f t="shared" si="13"/>
        <v>1.4194905232560648</v>
      </c>
      <c r="W92" s="9">
        <f t="shared" si="14"/>
        <v>185.56944780420486</v>
      </c>
      <c r="X92" s="89">
        <f t="shared" si="15"/>
        <v>189.39977343272653</v>
      </c>
      <c r="Y92" s="89">
        <f t="shared" si="16"/>
        <v>105.68003880420484</v>
      </c>
      <c r="Z92" s="92">
        <f t="shared" si="16"/>
        <v>108.36798355772652</v>
      </c>
      <c r="AB92" s="9">
        <f t="shared" si="17"/>
        <v>6.85746</v>
      </c>
      <c r="AC92" s="4"/>
      <c r="AD92" s="9">
        <f t="shared" si="18"/>
      </c>
      <c r="AE92" s="4"/>
      <c r="AF92" s="9">
        <f t="shared" si="19"/>
      </c>
      <c r="AG92" s="4"/>
    </row>
    <row r="93" spans="1:33" ht="15.75">
      <c r="A93" s="102" t="s">
        <v>387</v>
      </c>
      <c r="B93" s="87">
        <v>11.459</v>
      </c>
      <c r="C93" s="72">
        <f t="shared" si="0"/>
        <v>1.856358</v>
      </c>
      <c r="D93" s="72">
        <f t="shared" si="1"/>
        <v>0</v>
      </c>
      <c r="E93" s="88">
        <f t="shared" si="2"/>
        <v>1.00243332</v>
      </c>
      <c r="F93" s="9">
        <f t="shared" si="3"/>
        <v>64.8797121</v>
      </c>
      <c r="G93" s="89">
        <f t="shared" si="4"/>
        <v>65.80746138750001</v>
      </c>
      <c r="H93" s="90">
        <v>130</v>
      </c>
      <c r="I93" s="91"/>
      <c r="J93" s="10"/>
      <c r="K93" s="13"/>
      <c r="L93" s="72">
        <f t="shared" si="5"/>
        <v>1.5869037772969004</v>
      </c>
      <c r="M93" s="72">
        <f t="shared" si="6"/>
        <v>0</v>
      </c>
      <c r="N93" s="88">
        <f t="shared" si="7"/>
        <v>0.8807315963997797</v>
      </c>
      <c r="O93" s="9">
        <f t="shared" si="8"/>
        <v>61.44491425693598</v>
      </c>
      <c r="P93" s="89">
        <f t="shared" si="9"/>
        <v>61.958086612696114</v>
      </c>
      <c r="Q93" s="89">
        <f t="shared" si="10"/>
        <v>-3.4347978430640254</v>
      </c>
      <c r="R93" s="92">
        <f t="shared" si="10"/>
        <v>-3.8493747748038984</v>
      </c>
      <c r="T93" s="72">
        <f t="shared" si="11"/>
        <v>1.6492064603773586</v>
      </c>
      <c r="U93" s="72">
        <f t="shared" si="12"/>
        <v>0</v>
      </c>
      <c r="V93" s="88">
        <f t="shared" si="13"/>
        <v>1.1527953158037738</v>
      </c>
      <c r="W93" s="9">
        <f t="shared" si="14"/>
        <v>150.70448634928303</v>
      </c>
      <c r="X93" s="89">
        <f t="shared" si="15"/>
        <v>153.81516681542263</v>
      </c>
      <c r="Y93" s="89">
        <f t="shared" si="16"/>
        <v>85.82477424928302</v>
      </c>
      <c r="Z93" s="92">
        <f t="shared" si="16"/>
        <v>88.00770542792262</v>
      </c>
      <c r="AB93" s="9">
        <f t="shared" si="17"/>
        <v>1.4896699999999998</v>
      </c>
      <c r="AC93" s="4"/>
      <c r="AD93" s="9">
        <f t="shared" si="18"/>
      </c>
      <c r="AE93" s="4"/>
      <c r="AF93" s="9">
        <f t="shared" si="19"/>
      </c>
      <c r="AG93" s="4"/>
    </row>
    <row r="94" spans="1:33" ht="15.75">
      <c r="A94" s="102" t="s">
        <v>110</v>
      </c>
      <c r="B94" s="87">
        <v>9.58</v>
      </c>
      <c r="C94" s="72">
        <f t="shared" si="0"/>
        <v>1.55196</v>
      </c>
      <c r="D94" s="72">
        <f t="shared" si="1"/>
        <v>0</v>
      </c>
      <c r="E94" s="88">
        <f t="shared" si="2"/>
        <v>0.8380584</v>
      </c>
      <c r="F94" s="9">
        <f t="shared" si="3"/>
        <v>54.241002</v>
      </c>
      <c r="G94" s="89">
        <f t="shared" si="4"/>
        <v>55.01662275</v>
      </c>
      <c r="H94" s="90">
        <v>270</v>
      </c>
      <c r="I94" s="91"/>
      <c r="J94" s="10">
        <v>563</v>
      </c>
      <c r="K94" s="13"/>
      <c r="L94" s="72">
        <f t="shared" si="5"/>
        <v>1.3266897797804613</v>
      </c>
      <c r="M94" s="72">
        <f t="shared" si="6"/>
        <v>0</v>
      </c>
      <c r="N94" s="88">
        <f t="shared" si="7"/>
        <v>0.736312827778156</v>
      </c>
      <c r="O94" s="9">
        <f t="shared" si="8"/>
        <v>51.36942827309946</v>
      </c>
      <c r="P94" s="89">
        <f t="shared" si="9"/>
        <v>51.79845272271828</v>
      </c>
      <c r="Q94" s="89">
        <f t="shared" si="10"/>
        <v>-2.871573726900543</v>
      </c>
      <c r="R94" s="92">
        <f t="shared" si="10"/>
        <v>-3.2181700272817224</v>
      </c>
      <c r="T94" s="72">
        <f t="shared" si="11"/>
        <v>1.378776323450135</v>
      </c>
      <c r="U94" s="72">
        <f t="shared" si="12"/>
        <v>0</v>
      </c>
      <c r="V94" s="88">
        <f t="shared" si="13"/>
        <v>0.9637646500916444</v>
      </c>
      <c r="W94" s="9">
        <f t="shared" si="14"/>
        <v>125.99258043687333</v>
      </c>
      <c r="X94" s="89">
        <f t="shared" si="15"/>
        <v>128.59318423001562</v>
      </c>
      <c r="Y94" s="89">
        <f t="shared" si="16"/>
        <v>71.75157843687333</v>
      </c>
      <c r="Z94" s="92">
        <f t="shared" si="16"/>
        <v>73.57656148001561</v>
      </c>
      <c r="AB94" s="9">
        <f t="shared" si="17"/>
        <v>2.5866</v>
      </c>
      <c r="AC94" s="4"/>
      <c r="AD94" s="9">
        <f t="shared" si="18"/>
      </c>
      <c r="AE94" s="4"/>
      <c r="AF94" s="9">
        <f t="shared" si="19"/>
        <v>5.39354</v>
      </c>
      <c r="AG94" s="4"/>
    </row>
    <row r="95" spans="1:33" ht="15.75">
      <c r="A95" s="66" t="s">
        <v>111</v>
      </c>
      <c r="B95" s="87">
        <v>10.247</v>
      </c>
      <c r="C95" s="72">
        <f t="shared" si="0"/>
        <v>1.660014</v>
      </c>
      <c r="D95" s="72">
        <f t="shared" si="1"/>
        <v>0</v>
      </c>
      <c r="E95" s="88">
        <f t="shared" si="2"/>
        <v>0.8964075600000001</v>
      </c>
      <c r="F95" s="9">
        <f t="shared" si="3"/>
        <v>58.01748930000001</v>
      </c>
      <c r="G95" s="89">
        <f t="shared" si="4"/>
        <v>58.84711203750001</v>
      </c>
      <c r="H95" s="90"/>
      <c r="I95" s="91"/>
      <c r="J95" s="10">
        <v>312</v>
      </c>
      <c r="K95" s="13"/>
      <c r="L95" s="72">
        <f t="shared" si="5"/>
        <v>1.4190595170574518</v>
      </c>
      <c r="M95" s="72">
        <f t="shared" si="6"/>
        <v>0</v>
      </c>
      <c r="N95" s="88">
        <f t="shared" si="7"/>
        <v>0.7875780319668857</v>
      </c>
      <c r="O95" s="9">
        <f t="shared" si="8"/>
        <v>54.94598450046453</v>
      </c>
      <c r="P95" s="89">
        <f t="shared" si="9"/>
        <v>55.404879441512975</v>
      </c>
      <c r="Q95" s="89">
        <f t="shared" si="10"/>
        <v>-3.071504799535475</v>
      </c>
      <c r="R95" s="92">
        <f t="shared" si="10"/>
        <v>-3.4422325959870363</v>
      </c>
      <c r="T95" s="72">
        <f t="shared" si="11"/>
        <v>1.4747725455525609</v>
      </c>
      <c r="U95" s="72">
        <f t="shared" si="12"/>
        <v>0</v>
      </c>
      <c r="V95" s="88">
        <f t="shared" si="13"/>
        <v>1.03086600934124</v>
      </c>
      <c r="W95" s="9">
        <f t="shared" si="14"/>
        <v>134.76471521259302</v>
      </c>
      <c r="X95" s="89">
        <f t="shared" si="15"/>
        <v>137.54638400886952</v>
      </c>
      <c r="Y95" s="89">
        <f t="shared" si="16"/>
        <v>76.74722591259301</v>
      </c>
      <c r="Z95" s="92">
        <f t="shared" si="16"/>
        <v>78.69927197136951</v>
      </c>
      <c r="AB95" s="9">
        <f t="shared" si="17"/>
      </c>
      <c r="AC95" s="4"/>
      <c r="AD95" s="9">
        <f t="shared" si="18"/>
      </c>
      <c r="AE95" s="4"/>
      <c r="AF95" s="9">
        <f t="shared" si="19"/>
        <v>3.1970639999999997</v>
      </c>
      <c r="AG95" s="4"/>
    </row>
    <row r="96" spans="1:33" ht="15.75">
      <c r="A96" s="102" t="s">
        <v>154</v>
      </c>
      <c r="B96" s="87">
        <v>10.293</v>
      </c>
      <c r="C96" s="72">
        <f t="shared" si="0"/>
        <v>1.667466</v>
      </c>
      <c r="D96" s="72">
        <f t="shared" si="1"/>
        <v>0</v>
      </c>
      <c r="E96" s="88">
        <f t="shared" si="2"/>
        <v>0.9004316399999999</v>
      </c>
      <c r="F96" s="9">
        <f t="shared" si="3"/>
        <v>58.2779367</v>
      </c>
      <c r="G96" s="89">
        <f t="shared" si="4"/>
        <v>59.1112837125</v>
      </c>
      <c r="H96" s="90"/>
      <c r="I96" s="91"/>
      <c r="J96" s="10">
        <v>378</v>
      </c>
      <c r="K96" s="13"/>
      <c r="L96" s="72">
        <f t="shared" si="5"/>
        <v>1.4254298437662096</v>
      </c>
      <c r="M96" s="72">
        <f t="shared" si="6"/>
        <v>0</v>
      </c>
      <c r="N96" s="88">
        <f t="shared" si="7"/>
        <v>0.7911135632902463</v>
      </c>
      <c r="O96" s="9">
        <f t="shared" si="8"/>
        <v>55.192643550627636</v>
      </c>
      <c r="P96" s="89">
        <f t="shared" si="9"/>
        <v>55.65359852556777</v>
      </c>
      <c r="Q96" s="89">
        <f t="shared" si="10"/>
        <v>-3.0852931493723617</v>
      </c>
      <c r="R96" s="92">
        <f t="shared" si="10"/>
        <v>-3.457685186932224</v>
      </c>
      <c r="T96" s="72">
        <f t="shared" si="11"/>
        <v>1.481392974663073</v>
      </c>
      <c r="U96" s="72">
        <f t="shared" si="12"/>
        <v>0</v>
      </c>
      <c r="V96" s="88">
        <f t="shared" si="13"/>
        <v>1.0354936892894882</v>
      </c>
      <c r="W96" s="9">
        <f t="shared" si="14"/>
        <v>135.3696900247116</v>
      </c>
      <c r="X96" s="89">
        <f t="shared" si="15"/>
        <v>138.16384606258356</v>
      </c>
      <c r="Y96" s="89">
        <f t="shared" si="16"/>
        <v>77.09175332471159</v>
      </c>
      <c r="Z96" s="92">
        <f t="shared" si="16"/>
        <v>79.05256235008356</v>
      </c>
      <c r="AB96" s="9">
        <f t="shared" si="17"/>
      </c>
      <c r="AC96" s="4"/>
      <c r="AD96" s="9">
        <f t="shared" si="18"/>
      </c>
      <c r="AE96" s="4"/>
      <c r="AF96" s="9">
        <f t="shared" si="19"/>
        <v>3.890754</v>
      </c>
      <c r="AG96" s="4"/>
    </row>
    <row r="97" spans="1:33" ht="15.75">
      <c r="A97" s="66" t="s">
        <v>155</v>
      </c>
      <c r="B97" s="87">
        <v>9.92</v>
      </c>
      <c r="C97" s="72">
        <f t="shared" si="0"/>
        <v>1.60704</v>
      </c>
      <c r="D97" s="72">
        <f t="shared" si="1"/>
        <v>0</v>
      </c>
      <c r="E97" s="88">
        <f t="shared" si="2"/>
        <v>0.8678016</v>
      </c>
      <c r="F97" s="9">
        <f t="shared" si="3"/>
        <v>56.166048</v>
      </c>
      <c r="G97" s="89">
        <f t="shared" si="4"/>
        <v>56.969196000000004</v>
      </c>
      <c r="H97" s="90"/>
      <c r="I97" s="91"/>
      <c r="J97" s="10"/>
      <c r="K97" s="13"/>
      <c r="L97" s="72">
        <f t="shared" si="5"/>
        <v>1.3737748032799766</v>
      </c>
      <c r="M97" s="72">
        <f t="shared" si="6"/>
        <v>0</v>
      </c>
      <c r="N97" s="88">
        <f t="shared" si="7"/>
        <v>0.7624450158203869</v>
      </c>
      <c r="O97" s="9">
        <f t="shared" si="8"/>
        <v>53.19256038300069</v>
      </c>
      <c r="P97" s="89">
        <f t="shared" si="9"/>
        <v>53.63681117007989</v>
      </c>
      <c r="Q97" s="89">
        <f t="shared" si="10"/>
        <v>-2.9734876169993143</v>
      </c>
      <c r="R97" s="92">
        <f t="shared" si="10"/>
        <v>-3.332384829920116</v>
      </c>
      <c r="T97" s="72">
        <f t="shared" si="11"/>
        <v>1.4277099299191376</v>
      </c>
      <c r="U97" s="72">
        <f t="shared" si="12"/>
        <v>0</v>
      </c>
      <c r="V97" s="88">
        <f t="shared" si="13"/>
        <v>0.9979692410134773</v>
      </c>
      <c r="W97" s="9">
        <f t="shared" si="14"/>
        <v>130.4641333960108</v>
      </c>
      <c r="X97" s="89">
        <f t="shared" si="15"/>
        <v>133.15703419225</v>
      </c>
      <c r="Y97" s="89">
        <f t="shared" si="16"/>
        <v>74.29808539601079</v>
      </c>
      <c r="Z97" s="92">
        <f t="shared" si="16"/>
        <v>76.18783819224998</v>
      </c>
      <c r="AB97" s="9">
        <f t="shared" si="17"/>
      </c>
      <c r="AC97" s="4"/>
      <c r="AD97" s="9">
        <f t="shared" si="18"/>
      </c>
      <c r="AE97" s="4"/>
      <c r="AF97" s="9">
        <f t="shared" si="19"/>
      </c>
      <c r="AG97" s="4"/>
    </row>
    <row r="98" spans="1:33" ht="15.75">
      <c r="A98" s="66" t="s">
        <v>156</v>
      </c>
      <c r="B98" s="87">
        <v>10.42</v>
      </c>
      <c r="C98" s="72">
        <f t="shared" si="0"/>
        <v>1.68804</v>
      </c>
      <c r="D98" s="72">
        <f t="shared" si="1"/>
        <v>0</v>
      </c>
      <c r="E98" s="88">
        <f t="shared" si="2"/>
        <v>0.9115416000000001</v>
      </c>
      <c r="F98" s="9">
        <f t="shared" si="3"/>
        <v>58.996998000000005</v>
      </c>
      <c r="G98" s="89">
        <f t="shared" si="4"/>
        <v>59.840627250000004</v>
      </c>
      <c r="H98" s="90"/>
      <c r="I98" s="91"/>
      <c r="J98" s="10"/>
      <c r="K98" s="13"/>
      <c r="L98" s="72">
        <f t="shared" si="5"/>
        <v>1.443017484896911</v>
      </c>
      <c r="M98" s="72">
        <f t="shared" si="6"/>
        <v>0</v>
      </c>
      <c r="N98" s="88">
        <f t="shared" si="7"/>
        <v>0.8008747041177857</v>
      </c>
      <c r="O98" s="9">
        <f t="shared" si="8"/>
        <v>55.873637015208395</v>
      </c>
      <c r="P98" s="89">
        <f t="shared" si="9"/>
        <v>56.340279475023436</v>
      </c>
      <c r="Q98" s="89">
        <f t="shared" si="10"/>
        <v>-3.12336098479161</v>
      </c>
      <c r="R98" s="92">
        <f t="shared" si="10"/>
        <v>-3.500347774976568</v>
      </c>
      <c r="T98" s="72">
        <f t="shared" si="11"/>
        <v>1.4996711159029652</v>
      </c>
      <c r="U98" s="72">
        <f t="shared" si="12"/>
        <v>0</v>
      </c>
      <c r="V98" s="88">
        <f t="shared" si="13"/>
        <v>1.0482701100161729</v>
      </c>
      <c r="W98" s="9">
        <f t="shared" si="14"/>
        <v>137.03994657121297</v>
      </c>
      <c r="X98" s="89">
        <f t="shared" si="15"/>
        <v>139.8685782543594</v>
      </c>
      <c r="Y98" s="89">
        <f t="shared" si="16"/>
        <v>78.04294857121296</v>
      </c>
      <c r="Z98" s="92">
        <f t="shared" si="16"/>
        <v>80.02795100435938</v>
      </c>
      <c r="AB98" s="9">
        <f t="shared" si="17"/>
      </c>
      <c r="AC98" s="4"/>
      <c r="AD98" s="9">
        <f t="shared" si="18"/>
      </c>
      <c r="AE98" s="4"/>
      <c r="AF98" s="9">
        <f t="shared" si="19"/>
      </c>
      <c r="AG98" s="4"/>
    </row>
    <row r="99" spans="1:33" ht="15.75">
      <c r="A99" s="66" t="s">
        <v>115</v>
      </c>
      <c r="B99" s="87">
        <v>9.259</v>
      </c>
      <c r="C99" s="72">
        <f t="shared" si="0"/>
        <v>1.4999580000000001</v>
      </c>
      <c r="D99" s="72">
        <f t="shared" si="1"/>
        <v>0</v>
      </c>
      <c r="E99" s="88">
        <f t="shared" si="2"/>
        <v>0.8099773200000001</v>
      </c>
      <c r="F99" s="9">
        <f t="shared" si="3"/>
        <v>52.42353210000001</v>
      </c>
      <c r="G99" s="89">
        <f t="shared" si="4"/>
        <v>53.17316388750001</v>
      </c>
      <c r="H99" s="90"/>
      <c r="I99" s="91"/>
      <c r="J99" s="10"/>
      <c r="K99" s="13"/>
      <c r="L99" s="72">
        <f t="shared" si="5"/>
        <v>1.2822359781823895</v>
      </c>
      <c r="M99" s="72">
        <f t="shared" si="6"/>
        <v>0</v>
      </c>
      <c r="N99" s="88">
        <f t="shared" si="7"/>
        <v>0.7116409678912262</v>
      </c>
      <c r="O99" s="9">
        <f t="shared" si="8"/>
        <v>49.64817707522212</v>
      </c>
      <c r="P99" s="89">
        <f t="shared" si="9"/>
        <v>50.06282607094453</v>
      </c>
      <c r="Q99" s="89">
        <f t="shared" si="10"/>
        <v>-2.7753550247778875</v>
      </c>
      <c r="R99" s="92">
        <f t="shared" si="10"/>
        <v>-3.1103378165554787</v>
      </c>
      <c r="T99" s="72">
        <f t="shared" si="11"/>
        <v>1.3325772420485178</v>
      </c>
      <c r="U99" s="72">
        <f t="shared" si="12"/>
        <v>0</v>
      </c>
      <c r="V99" s="88">
        <f t="shared" si="13"/>
        <v>0.931471492191914</v>
      </c>
      <c r="W99" s="9">
        <f t="shared" si="14"/>
        <v>121.77090837839356</v>
      </c>
      <c r="X99" s="89">
        <f t="shared" si="15"/>
        <v>124.28437294214142</v>
      </c>
      <c r="Y99" s="89">
        <f t="shared" si="16"/>
        <v>69.34737627839354</v>
      </c>
      <c r="Z99" s="92">
        <f t="shared" si="16"/>
        <v>71.1112090546414</v>
      </c>
      <c r="AB99" s="9">
        <f t="shared" si="17"/>
      </c>
      <c r="AC99" s="4"/>
      <c r="AD99" s="9">
        <f t="shared" si="18"/>
      </c>
      <c r="AE99" s="4"/>
      <c r="AF99" s="9">
        <f t="shared" si="19"/>
      </c>
      <c r="AG99" s="4"/>
    </row>
    <row r="100" spans="1:33" ht="15.75">
      <c r="A100" s="66" t="s">
        <v>116</v>
      </c>
      <c r="B100" s="87">
        <v>9.428</v>
      </c>
      <c r="C100" s="72">
        <f t="shared" si="0"/>
        <v>1.5273360000000002</v>
      </c>
      <c r="D100" s="72">
        <f t="shared" si="1"/>
        <v>0</v>
      </c>
      <c r="E100" s="88">
        <f t="shared" si="2"/>
        <v>0.8247614400000002</v>
      </c>
      <c r="F100" s="9">
        <f t="shared" si="3"/>
        <v>53.380393200000015</v>
      </c>
      <c r="G100" s="89">
        <f t="shared" si="4"/>
        <v>54.14370765000002</v>
      </c>
      <c r="H100" s="90"/>
      <c r="I100" s="91"/>
      <c r="J100" s="10"/>
      <c r="K100" s="13"/>
      <c r="L100" s="72">
        <f t="shared" si="5"/>
        <v>1.3056400045689134</v>
      </c>
      <c r="M100" s="72">
        <f t="shared" si="6"/>
        <v>0</v>
      </c>
      <c r="N100" s="88">
        <f t="shared" si="7"/>
        <v>0.724630202535747</v>
      </c>
      <c r="O100" s="9">
        <f t="shared" si="8"/>
        <v>50.55438097690833</v>
      </c>
      <c r="P100" s="89">
        <f t="shared" si="9"/>
        <v>50.97659835801545</v>
      </c>
      <c r="Q100" s="89">
        <f t="shared" si="10"/>
        <v>-2.8260122230916878</v>
      </c>
      <c r="R100" s="92">
        <f t="shared" si="10"/>
        <v>-3.1671092919845663</v>
      </c>
      <c r="T100" s="72">
        <f t="shared" si="11"/>
        <v>1.3569001229110516</v>
      </c>
      <c r="U100" s="72">
        <f t="shared" si="12"/>
        <v>0</v>
      </c>
      <c r="V100" s="88">
        <f t="shared" si="13"/>
        <v>0.9484731859148251</v>
      </c>
      <c r="W100" s="9">
        <f t="shared" si="14"/>
        <v>123.99353323161189</v>
      </c>
      <c r="X100" s="89">
        <f t="shared" si="15"/>
        <v>126.55287483513439</v>
      </c>
      <c r="Y100" s="89">
        <f t="shared" si="16"/>
        <v>70.61314003161188</v>
      </c>
      <c r="Z100" s="92">
        <f t="shared" si="16"/>
        <v>72.40916718513438</v>
      </c>
      <c r="AB100" s="9">
        <f t="shared" si="17"/>
      </c>
      <c r="AC100" s="4"/>
      <c r="AD100" s="9">
        <f t="shared" si="18"/>
      </c>
      <c r="AE100" s="4"/>
      <c r="AF100" s="9">
        <f t="shared" si="19"/>
      </c>
      <c r="AG100" s="4"/>
    </row>
    <row r="101" spans="1:33" ht="15.75">
      <c r="A101" s="66" t="s">
        <v>157</v>
      </c>
      <c r="B101" s="87">
        <v>10.66</v>
      </c>
      <c r="C101" s="72">
        <f t="shared" si="0"/>
        <v>1.72692</v>
      </c>
      <c r="D101" s="72">
        <f t="shared" si="1"/>
        <v>0</v>
      </c>
      <c r="E101" s="88">
        <f t="shared" si="2"/>
        <v>0.9325368</v>
      </c>
      <c r="F101" s="9">
        <f t="shared" si="3"/>
        <v>60.35585400000001</v>
      </c>
      <c r="G101" s="89">
        <f t="shared" si="4"/>
        <v>61.21891425000001</v>
      </c>
      <c r="H101" s="90"/>
      <c r="I101" s="91"/>
      <c r="J101" s="10"/>
      <c r="K101" s="13"/>
      <c r="L101" s="72">
        <f t="shared" si="5"/>
        <v>1.4762539720730394</v>
      </c>
      <c r="M101" s="72">
        <f t="shared" si="6"/>
        <v>0</v>
      </c>
      <c r="N101" s="88">
        <f t="shared" si="7"/>
        <v>0.819320954500537</v>
      </c>
      <c r="O101" s="9">
        <f t="shared" si="8"/>
        <v>57.16055379866808</v>
      </c>
      <c r="P101" s="89">
        <f t="shared" si="9"/>
        <v>57.637944261396335</v>
      </c>
      <c r="Q101" s="89">
        <f t="shared" si="10"/>
        <v>-3.195300201331925</v>
      </c>
      <c r="R101" s="92">
        <f t="shared" si="10"/>
        <v>-3.5809699886036768</v>
      </c>
      <c r="T101" s="72">
        <f t="shared" si="11"/>
        <v>1.5342124851752024</v>
      </c>
      <c r="U101" s="72">
        <f t="shared" si="12"/>
        <v>0</v>
      </c>
      <c r="V101" s="88">
        <f t="shared" si="13"/>
        <v>1.0724145271374665</v>
      </c>
      <c r="W101" s="9">
        <f t="shared" si="14"/>
        <v>140.19633689531</v>
      </c>
      <c r="X101" s="89">
        <f t="shared" si="15"/>
        <v>143.09011940417187</v>
      </c>
      <c r="Y101" s="89">
        <f t="shared" si="16"/>
        <v>79.84048289530999</v>
      </c>
      <c r="Z101" s="92">
        <f t="shared" si="16"/>
        <v>81.87120515417186</v>
      </c>
      <c r="AB101" s="9">
        <f t="shared" si="17"/>
      </c>
      <c r="AC101" s="4"/>
      <c r="AD101" s="9">
        <f t="shared" si="18"/>
      </c>
      <c r="AE101" s="4"/>
      <c r="AF101" s="9">
        <f t="shared" si="19"/>
      </c>
      <c r="AG101" s="4"/>
    </row>
    <row r="102" spans="1:33" ht="15.75">
      <c r="A102" s="66" t="s">
        <v>158</v>
      </c>
      <c r="B102" s="87">
        <v>11.9</v>
      </c>
      <c r="C102" s="72">
        <f t="shared" si="0"/>
        <v>1.9278000000000002</v>
      </c>
      <c r="D102" s="72">
        <f t="shared" si="1"/>
        <v>0</v>
      </c>
      <c r="E102" s="88">
        <f t="shared" si="2"/>
        <v>1.041012</v>
      </c>
      <c r="F102" s="9">
        <f t="shared" si="3"/>
        <v>67.37661000000001</v>
      </c>
      <c r="G102" s="89">
        <f t="shared" si="4"/>
        <v>68.34006375000001</v>
      </c>
      <c r="H102" s="90"/>
      <c r="I102" s="91"/>
      <c r="J102" s="10"/>
      <c r="K102" s="13"/>
      <c r="L102" s="72">
        <f t="shared" si="5"/>
        <v>1.6479758224830365</v>
      </c>
      <c r="M102" s="72">
        <f t="shared" si="6"/>
        <v>0</v>
      </c>
      <c r="N102" s="88">
        <f t="shared" si="7"/>
        <v>0.9146265814780853</v>
      </c>
      <c r="O102" s="9">
        <f t="shared" si="8"/>
        <v>63.809623846543175</v>
      </c>
      <c r="P102" s="89">
        <f t="shared" si="9"/>
        <v>64.34254565765633</v>
      </c>
      <c r="Q102" s="89">
        <f t="shared" si="10"/>
        <v>-3.5669861534568383</v>
      </c>
      <c r="R102" s="92">
        <f t="shared" si="10"/>
        <v>-3.9975180923436824</v>
      </c>
      <c r="T102" s="72">
        <f t="shared" si="11"/>
        <v>1.7126762264150945</v>
      </c>
      <c r="U102" s="72">
        <f t="shared" si="12"/>
        <v>0</v>
      </c>
      <c r="V102" s="88">
        <f t="shared" si="13"/>
        <v>1.1971606822641512</v>
      </c>
      <c r="W102" s="9">
        <f t="shared" si="14"/>
        <v>156.50435356981134</v>
      </c>
      <c r="X102" s="89">
        <f t="shared" si="15"/>
        <v>159.73474867820312</v>
      </c>
      <c r="Y102" s="89">
        <f t="shared" si="16"/>
        <v>89.12774356981133</v>
      </c>
      <c r="Z102" s="92">
        <f t="shared" si="16"/>
        <v>91.3946849282031</v>
      </c>
      <c r="AB102" s="9">
        <f t="shared" si="17"/>
      </c>
      <c r="AC102" s="4"/>
      <c r="AD102" s="9">
        <f t="shared" si="18"/>
      </c>
      <c r="AE102" s="4"/>
      <c r="AF102" s="9">
        <f t="shared" si="19"/>
      </c>
      <c r="AG102" s="4"/>
    </row>
    <row r="103" spans="1:33" ht="15.75">
      <c r="A103" s="66" t="s">
        <v>119</v>
      </c>
      <c r="B103" s="87">
        <v>10.649</v>
      </c>
      <c r="C103" s="72">
        <f t="shared" si="0"/>
        <v>1.7251379999999998</v>
      </c>
      <c r="D103" s="72">
        <f t="shared" si="1"/>
        <v>0</v>
      </c>
      <c r="E103" s="88">
        <f t="shared" si="2"/>
        <v>0.93157452</v>
      </c>
      <c r="F103" s="9">
        <f t="shared" si="3"/>
        <v>60.293573099999996</v>
      </c>
      <c r="G103" s="89">
        <f t="shared" si="4"/>
        <v>61.1557427625</v>
      </c>
      <c r="H103" s="90"/>
      <c r="I103" s="91"/>
      <c r="J103" s="10"/>
      <c r="K103" s="13"/>
      <c r="L103" s="72">
        <f t="shared" si="5"/>
        <v>1.4747306330774668</v>
      </c>
      <c r="M103" s="72">
        <f t="shared" si="6"/>
        <v>0</v>
      </c>
      <c r="N103" s="88">
        <f t="shared" si="7"/>
        <v>0.8184755013579941</v>
      </c>
      <c r="O103" s="9">
        <f t="shared" si="8"/>
        <v>57.10157011275951</v>
      </c>
      <c r="P103" s="89">
        <f t="shared" si="9"/>
        <v>57.57846795868757</v>
      </c>
      <c r="Q103" s="89">
        <f t="shared" si="10"/>
        <v>-3.1920029872404854</v>
      </c>
      <c r="R103" s="92">
        <f t="shared" si="10"/>
        <v>-3.577274803812429</v>
      </c>
      <c r="T103" s="72">
        <f t="shared" si="11"/>
        <v>1.532629339083558</v>
      </c>
      <c r="U103" s="72">
        <f t="shared" si="12"/>
        <v>0</v>
      </c>
      <c r="V103" s="88">
        <f t="shared" si="13"/>
        <v>1.071307908019407</v>
      </c>
      <c r="W103" s="9">
        <f t="shared" si="14"/>
        <v>140.05166900545552</v>
      </c>
      <c r="X103" s="89">
        <f t="shared" si="15"/>
        <v>142.94246543480543</v>
      </c>
      <c r="Y103" s="89">
        <f t="shared" si="16"/>
        <v>79.75809590545552</v>
      </c>
      <c r="Z103" s="92">
        <f t="shared" si="16"/>
        <v>81.78672267230543</v>
      </c>
      <c r="AB103" s="9">
        <f t="shared" si="17"/>
      </c>
      <c r="AC103" s="4"/>
      <c r="AD103" s="9">
        <f t="shared" si="18"/>
      </c>
      <c r="AE103" s="4"/>
      <c r="AF103" s="9">
        <f t="shared" si="19"/>
      </c>
      <c r="AG103" s="4"/>
    </row>
    <row r="104" spans="1:33" ht="15.75">
      <c r="A104" s="66" t="s">
        <v>120</v>
      </c>
      <c r="B104" s="87">
        <v>9.85</v>
      </c>
      <c r="C104" s="72">
        <f t="shared" si="0"/>
        <v>1.5957</v>
      </c>
      <c r="D104" s="72">
        <f t="shared" si="1"/>
        <v>0</v>
      </c>
      <c r="E104" s="88">
        <f t="shared" si="2"/>
        <v>0.8616779999999999</v>
      </c>
      <c r="F104" s="9">
        <f t="shared" si="3"/>
        <v>55.769715</v>
      </c>
      <c r="G104" s="89">
        <f t="shared" si="4"/>
        <v>56.567195625</v>
      </c>
      <c r="H104" s="90"/>
      <c r="I104" s="91"/>
      <c r="J104" s="10"/>
      <c r="K104" s="13"/>
      <c r="L104" s="72">
        <f t="shared" si="5"/>
        <v>1.3640808278536058</v>
      </c>
      <c r="M104" s="72">
        <f t="shared" si="6"/>
        <v>0</v>
      </c>
      <c r="N104" s="88">
        <f t="shared" si="7"/>
        <v>0.7570648594587513</v>
      </c>
      <c r="O104" s="9">
        <f t="shared" si="8"/>
        <v>52.81720965449162</v>
      </c>
      <c r="P104" s="89">
        <f t="shared" si="9"/>
        <v>53.258325607387796</v>
      </c>
      <c r="Q104" s="89">
        <f t="shared" si="10"/>
        <v>-2.952505345508378</v>
      </c>
      <c r="R104" s="92">
        <f t="shared" si="10"/>
        <v>-3.3088700176122003</v>
      </c>
      <c r="T104" s="72">
        <f t="shared" si="11"/>
        <v>1.4176353638814017</v>
      </c>
      <c r="U104" s="72">
        <f t="shared" si="12"/>
        <v>0</v>
      </c>
      <c r="V104" s="88">
        <f t="shared" si="13"/>
        <v>0.9909271193530997</v>
      </c>
      <c r="W104" s="9">
        <f t="shared" si="14"/>
        <v>129.5435195514825</v>
      </c>
      <c r="X104" s="89">
        <f t="shared" si="15"/>
        <v>132.21741802355467</v>
      </c>
      <c r="Y104" s="89">
        <f t="shared" si="16"/>
        <v>73.7738045514825</v>
      </c>
      <c r="Z104" s="92">
        <f t="shared" si="16"/>
        <v>75.65022239855467</v>
      </c>
      <c r="AB104" s="9">
        <f t="shared" si="17"/>
      </c>
      <c r="AC104" s="4"/>
      <c r="AD104" s="9">
        <f t="shared" si="18"/>
      </c>
      <c r="AE104" s="4"/>
      <c r="AF104" s="9">
        <f t="shared" si="19"/>
      </c>
      <c r="AG104" s="4"/>
    </row>
    <row r="105" spans="1:33" ht="15.75">
      <c r="A105" s="66" t="s">
        <v>121</v>
      </c>
      <c r="B105" s="87">
        <v>21.111</v>
      </c>
      <c r="C105" s="72">
        <f t="shared" si="0"/>
        <v>3.419982</v>
      </c>
      <c r="D105" s="72">
        <f t="shared" si="1"/>
        <v>0</v>
      </c>
      <c r="E105" s="88">
        <f t="shared" si="2"/>
        <v>1.8467902800000002</v>
      </c>
      <c r="F105" s="9">
        <f t="shared" si="3"/>
        <v>119.52837090000001</v>
      </c>
      <c r="G105" s="89">
        <f t="shared" si="4"/>
        <v>121.23757023750001</v>
      </c>
      <c r="H105" s="90"/>
      <c r="I105" s="91"/>
      <c r="J105" s="10"/>
      <c r="K105" s="13"/>
      <c r="L105" s="72">
        <f t="shared" si="5"/>
        <v>2.9235645032302005</v>
      </c>
      <c r="M105" s="72">
        <f t="shared" si="6"/>
        <v>0</v>
      </c>
      <c r="N105" s="88">
        <f t="shared" si="7"/>
        <v>1.622578299292761</v>
      </c>
      <c r="O105" s="9">
        <f t="shared" si="8"/>
        <v>113.20041756507335</v>
      </c>
      <c r="P105" s="89">
        <f t="shared" si="9"/>
        <v>114.14583877132627</v>
      </c>
      <c r="Q105" s="89">
        <f t="shared" si="10"/>
        <v>-6.3279533349266615</v>
      </c>
      <c r="R105" s="92">
        <f t="shared" si="10"/>
        <v>-7.091731466173741</v>
      </c>
      <c r="T105" s="72">
        <f t="shared" si="11"/>
        <v>3.038345194609165</v>
      </c>
      <c r="U105" s="72">
        <f t="shared" si="12"/>
        <v>0</v>
      </c>
      <c r="V105" s="88">
        <f t="shared" si="13"/>
        <v>2.1238032910318063</v>
      </c>
      <c r="W105" s="9">
        <f t="shared" si="14"/>
        <v>277.6439838833855</v>
      </c>
      <c r="X105" s="89">
        <f t="shared" si="15"/>
        <v>283.37481339038203</v>
      </c>
      <c r="Y105" s="89">
        <f t="shared" si="16"/>
        <v>158.11561298338546</v>
      </c>
      <c r="Z105" s="92">
        <f t="shared" si="16"/>
        <v>162.13724315288204</v>
      </c>
      <c r="AB105" s="9">
        <f t="shared" si="17"/>
      </c>
      <c r="AC105" s="4"/>
      <c r="AD105" s="9">
        <f t="shared" si="18"/>
      </c>
      <c r="AE105" s="4"/>
      <c r="AF105" s="9">
        <f t="shared" si="19"/>
      </c>
      <c r="AG105" s="4"/>
    </row>
    <row r="106" spans="1:32" ht="15.75">
      <c r="A106" s="64"/>
      <c r="B106" s="64"/>
      <c r="C106" s="17"/>
      <c r="D106" s="17"/>
      <c r="E106" s="20"/>
      <c r="F106" s="18"/>
      <c r="G106" s="93" t="s">
        <v>122</v>
      </c>
      <c r="H106" s="94">
        <f>SUM(H87:H105)</f>
        <v>1440</v>
      </c>
      <c r="I106" s="95">
        <f>SUM(I87:I105)</f>
        <v>1500</v>
      </c>
      <c r="J106" s="96">
        <f>SUM(J87:J105)</f>
        <v>1253</v>
      </c>
      <c r="K106" s="21"/>
      <c r="L106" s="17"/>
      <c r="M106" s="17"/>
      <c r="N106" s="20"/>
      <c r="O106" s="97"/>
      <c r="P106" s="98"/>
      <c r="Q106" s="98"/>
      <c r="R106" s="99"/>
      <c r="T106" s="17"/>
      <c r="U106" s="17"/>
      <c r="V106" s="100"/>
      <c r="W106" s="97"/>
      <c r="X106" s="98"/>
      <c r="Y106" s="98"/>
      <c r="Z106" s="99"/>
      <c r="AB106" s="5">
        <f>SUM(AB87:AB105)*1000/H106</f>
        <v>13.557936805555556</v>
      </c>
      <c r="AD106" s="5">
        <f>SUM(AD87:AD105)*1000/I106</f>
        <v>9.363769333333334</v>
      </c>
      <c r="AF106" s="5">
        <f>SUM(AF87:AF105)*1000/J106</f>
        <v>9.961179569034316</v>
      </c>
    </row>
    <row r="107" spans="1:26" ht="15.75">
      <c r="A107" s="62" t="str">
        <f>H85</f>
        <v>Sochaux</v>
      </c>
      <c r="B107" s="72">
        <f>AB106</f>
        <v>13.557936805555556</v>
      </c>
      <c r="C107" s="72">
        <f>$G$80*$B107/G$79</f>
        <v>2.1963857625000003</v>
      </c>
      <c r="D107" s="72">
        <f>$G$81*$B107/G$79</f>
        <v>0</v>
      </c>
      <c r="E107" s="88">
        <f>IF(H$9="S",C107*(100-H$14)/100+D107*(100-H$22)/100,(C107*H$15+D107*H$23)/100)</f>
        <v>1.1860483117500003</v>
      </c>
      <c r="F107" s="9">
        <f>IF(H$8="M",C107*H$18,(C107*H$18)+(D107*H$71))</f>
        <v>76.76368239937501</v>
      </c>
      <c r="G107" s="89">
        <f>IF(H$64=0,F107,F107+C107/H$13*H$75)</f>
        <v>77.86136685799481</v>
      </c>
      <c r="H107" s="89"/>
      <c r="I107" s="92"/>
      <c r="J107" s="9"/>
      <c r="K107" s="13"/>
      <c r="L107" s="72">
        <f>$P$80*$B107/P$79</f>
        <v>1.8775758032191976</v>
      </c>
      <c r="M107" s="72">
        <f>$P$81*$B107/P$79</f>
        <v>0</v>
      </c>
      <c r="N107" s="88">
        <f>IF(Q$9="S",L107*(100-Q$14)/100+M107*(100-Q$22)/100,(L107*Q$15+M107*Q$23)/100)</f>
        <v>1.0420545707866546</v>
      </c>
      <c r="O107" s="9">
        <f>IF(Q$8="M",L107*Q$18,(L107*Q$18)+(M107*Q$71))</f>
        <v>72.69973510064733</v>
      </c>
      <c r="P107" s="89">
        <f>IF(Q$64=0,O107,O107+L107/Q$13*Q$75)</f>
        <v>73.30690486849392</v>
      </c>
      <c r="Q107" s="89">
        <f aca="true" t="shared" si="20" ref="Q107:R109">O107-F107</f>
        <v>-4.063947298727683</v>
      </c>
      <c r="R107" s="92">
        <f t="shared" si="20"/>
        <v>-4.5544619895008935</v>
      </c>
      <c r="T107" s="72">
        <f>$X$80*$B107/X$79</f>
        <v>1.951290424043127</v>
      </c>
      <c r="U107" s="72">
        <f>$X$81*$B107/X$79</f>
        <v>0</v>
      </c>
      <c r="V107" s="88">
        <f>IF(Y$9="S",T107*(100-Y$14)/100+U107*(100-Y$22)/100,(T107*Y$15+U107*Y$23)/100)</f>
        <v>1.3639520064061461</v>
      </c>
      <c r="W107" s="9">
        <f>IF(Y$8="M",T107*Y$18,(T107*Y$18)+(U107*Y$71))</f>
        <v>178.30891894906094</v>
      </c>
      <c r="X107" s="89">
        <f>IF(Y$64=0,W107,W107+T107/Y$13*Y$75)</f>
        <v>181.98938052356107</v>
      </c>
      <c r="Y107" s="89">
        <f aca="true" t="shared" si="21" ref="Y107:Z109">W107-F107</f>
        <v>101.54523654968592</v>
      </c>
      <c r="Z107" s="92">
        <f t="shared" si="21"/>
        <v>104.12801366556626</v>
      </c>
    </row>
    <row r="108" spans="1:26" ht="15.75">
      <c r="A108" s="62" t="str">
        <f>I85</f>
        <v>Mulh.</v>
      </c>
      <c r="B108" s="72">
        <f>AD106</f>
        <v>9.363769333333334</v>
      </c>
      <c r="C108" s="72">
        <f>$G$80*$B108/G$79</f>
        <v>1.5169306320000002</v>
      </c>
      <c r="D108" s="72">
        <f>$G$81*$B108/G$79</f>
        <v>0</v>
      </c>
      <c r="E108" s="88">
        <f>IF(H$9="S",C108*(100-H$14)/100+D108*(100-H$22)/100,(C108*H$15+D108*H$23)/100)</f>
        <v>0.8191425412800001</v>
      </c>
      <c r="F108" s="9">
        <f>IF(H$8="M",C108*H$18,(C108*H$18)+(D108*H$71))</f>
        <v>53.016725588400014</v>
      </c>
      <c r="G108" s="89">
        <f>IF(H$64=0,F108,F108+C108/H$13*H$75)</f>
        <v>53.77483976305001</v>
      </c>
      <c r="H108" s="89"/>
      <c r="I108" s="92"/>
      <c r="J108" s="9"/>
      <c r="K108" s="13"/>
      <c r="L108" s="72">
        <f>$P$80*$B108/P$79</f>
        <v>1.2967449973648266</v>
      </c>
      <c r="M108" s="72">
        <f>$P$81*$B108/P$79</f>
        <v>0</v>
      </c>
      <c r="N108" s="88">
        <f>IF(Q$9="S",L108*(100-Q$14)/100+M108*(100-Q$22)/100,(L108*Q$15+M108*Q$23)/100)</f>
        <v>0.7196934735374788</v>
      </c>
      <c r="O108" s="9">
        <f>IF(Q$8="M",L108*Q$18,(L108*Q$18)+(M108*Q$71))</f>
        <v>50.20996629796608</v>
      </c>
      <c r="P108" s="89">
        <f>IF(Q$64=0,O108,O108+L108/Q$13*Q$75)</f>
        <v>50.629307214937995</v>
      </c>
      <c r="Q108" s="89">
        <f t="shared" si="20"/>
        <v>-2.8067592904339307</v>
      </c>
      <c r="R108" s="92">
        <f t="shared" si="20"/>
        <v>-3.1455325481120155</v>
      </c>
      <c r="T108" s="72">
        <f>$X$80*$B108/X$79</f>
        <v>1.347655893011321</v>
      </c>
      <c r="U108" s="72">
        <f>$X$81*$B108/X$79</f>
        <v>0</v>
      </c>
      <c r="V108" s="88">
        <f>IF(Y$9="S",T108*(100-Y$14)/100+U108*(100-Y$22)/100,(T108*Y$15+U108*Y$23)/100)</f>
        <v>0.9420114692149134</v>
      </c>
      <c r="W108" s="9">
        <f>IF(Y$8="M",T108*Y$18,(T108*Y$18)+(U108*Y$71))</f>
        <v>123.1487955033745</v>
      </c>
      <c r="X108" s="89">
        <f>IF(Y$64=0,W108,W108+T108/Y$13*Y$75)</f>
        <v>125.69070093619038</v>
      </c>
      <c r="Y108" s="89">
        <f t="shared" si="21"/>
        <v>70.1320699149745</v>
      </c>
      <c r="Z108" s="92">
        <f t="shared" si="21"/>
        <v>71.91586117314037</v>
      </c>
    </row>
    <row r="109" spans="1:26" ht="15.75">
      <c r="A109" s="62" t="str">
        <f>J85</f>
        <v>Poissy</v>
      </c>
      <c r="B109" s="72">
        <f>AF106</f>
        <v>9.961179569034316</v>
      </c>
      <c r="C109" s="72">
        <f>$G$80*$B109/G$79</f>
        <v>1.6137110901835592</v>
      </c>
      <c r="D109" s="72">
        <f>$G$81*$B109/G$79</f>
        <v>0</v>
      </c>
      <c r="E109" s="88">
        <f>IF(H$9="S",C109*(100-H$14)/100+D109*(100-H$22)/100,(C109*H$15+D109*H$23)/100)</f>
        <v>0.871403988699122</v>
      </c>
      <c r="F109" s="9">
        <f>IF(H$8="M",C109*H$18,(C109*H$18)+(D109*H$71))</f>
        <v>56.3992026019154</v>
      </c>
      <c r="G109" s="89">
        <f>IF(H$64=0,F109,F109+C109/H$13*H$75)</f>
        <v>57.20568460277334</v>
      </c>
      <c r="H109" s="89"/>
      <c r="I109" s="92"/>
      <c r="J109" s="9"/>
      <c r="K109" s="13"/>
      <c r="L109" s="72">
        <f>$P$80*$B109/P$79</f>
        <v>1.379477570855508</v>
      </c>
      <c r="M109" s="72">
        <f>$P$81*$B109/P$79</f>
        <v>0</v>
      </c>
      <c r="N109" s="88">
        <f>IF(Q$9="S",L109*(100-Q$14)/100+M109*(100-Q$22)/100,(L109*Q$15+M109*Q$23)/100)</f>
        <v>0.765610051824807</v>
      </c>
      <c r="O109" s="9">
        <f>IF(Q$8="M",L109*Q$18,(L109*Q$18)+(M109*Q$71))</f>
        <v>53.41337154352527</v>
      </c>
      <c r="P109" s="89">
        <f>IF(Q$64=0,O109,O109+L109/Q$13*Q$75)</f>
        <v>53.85946648947091</v>
      </c>
      <c r="Q109" s="89">
        <f t="shared" si="20"/>
        <v>-2.9858310583901257</v>
      </c>
      <c r="R109" s="92">
        <f t="shared" si="20"/>
        <v>-3.3462181133024274</v>
      </c>
      <c r="T109" s="72">
        <f>$X$80*$B109/X$79</f>
        <v>1.4336365911711622</v>
      </c>
      <c r="U109" s="72">
        <f>$X$81*$B109/X$79</f>
        <v>0</v>
      </c>
      <c r="V109" s="88">
        <f>IF(Y$9="S",T109*(100-Y$14)/100+U109*(100-Y$22)/100,(T109*Y$15+U109*Y$23)/100)</f>
        <v>1.0021119772286424</v>
      </c>
      <c r="W109" s="9">
        <f>IF(Y$8="M",T109*Y$18,(T109*Y$18)+(U109*Y$71))</f>
        <v>131.0057117012208</v>
      </c>
      <c r="X109" s="89">
        <f>IF(Y$64=0,W109,W109+T109/Y$13*Y$75)</f>
        <v>133.70979117631498</v>
      </c>
      <c r="Y109" s="89">
        <f t="shared" si="21"/>
        <v>74.60650909930541</v>
      </c>
      <c r="Z109" s="92">
        <f t="shared" si="21"/>
        <v>76.50410657354163</v>
      </c>
    </row>
    <row r="110" spans="1:26" ht="15.75">
      <c r="A110" s="54" t="s">
        <v>159</v>
      </c>
      <c r="B110" s="15"/>
      <c r="C110" s="15"/>
      <c r="D110" s="15"/>
      <c r="E110" s="15"/>
      <c r="F110" s="15"/>
      <c r="G110" s="101" t="str">
        <f>G5</f>
        <v>MONO</v>
      </c>
      <c r="H110" s="15"/>
      <c r="I110" s="15"/>
      <c r="J110" s="15"/>
      <c r="K110" s="15"/>
      <c r="L110" s="15"/>
      <c r="M110" s="15"/>
      <c r="N110" s="15"/>
      <c r="O110" s="15"/>
      <c r="P110" s="101" t="str">
        <f>P5</f>
        <v>MONO</v>
      </c>
      <c r="Q110" s="15"/>
      <c r="R110" s="15"/>
      <c r="S110" s="15"/>
      <c r="T110" s="15"/>
      <c r="U110" s="15"/>
      <c r="V110" s="15"/>
      <c r="W110" s="15"/>
      <c r="X110" s="101" t="str">
        <f>X5</f>
        <v>bicomp</v>
      </c>
      <c r="Y110" s="15"/>
      <c r="Z110" s="15"/>
    </row>
  </sheetData>
  <printOptions/>
  <pageMargins left="0.197" right="0.197" top="0.591" bottom="0.197" header="0.4921259845" footer="0.4921259845"/>
  <pageSetup fitToHeight="0" fitToWidth="1" horizontalDpi="300" verticalDpi="300" orientation="landscape" paperSize="9" scale="59" r:id="rId1"/>
  <headerFooter alignWithMargins="0">
    <oddHeader>&amp;C&amp;R Page &amp;P</oddHeader>
  </headerFooter>
  <rowBreaks count="1" manualBreakCount="1">
    <brk id="53" max="65535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C479"/>
  <sheetViews>
    <sheetView showGridLines="0" zoomScale="75" zoomScaleNormal="75" workbookViewId="0" topLeftCell="A1">
      <pane xSplit="5" topLeftCell="J1" activePane="topRight" state="frozen"/>
      <selection pane="topLeft" activeCell="A1" sqref="A1"/>
      <selection pane="topRight" activeCell="B4" sqref="B4"/>
    </sheetView>
  </sheetViews>
  <sheetFormatPr defaultColWidth="9.77734375" defaultRowHeight="15.75"/>
  <cols>
    <col min="1" max="1" width="14.77734375" style="0" customWidth="1"/>
    <col min="2" max="2" width="9.77734375" style="0" customWidth="1"/>
    <col min="3" max="3" width="13.77734375" style="0" customWidth="1"/>
    <col min="4" max="6" width="8.77734375" style="0" customWidth="1"/>
    <col min="9" max="10" width="8.77734375" style="0" customWidth="1"/>
    <col min="12" max="13" width="8.77734375" style="0" customWidth="1"/>
    <col min="16" max="17" width="8.77734375" style="0" customWidth="1"/>
    <col min="20" max="23" width="8.77734375" style="0" customWidth="1"/>
    <col min="25" max="25" width="8.77734375" style="0" customWidth="1"/>
    <col min="27" max="28" width="8.77734375" style="0" customWidth="1"/>
    <col min="29" max="29" width="9.77734375" style="0" customWidth="1"/>
    <col min="30" max="30" width="8.77734375" style="0" customWidth="1"/>
  </cols>
  <sheetData>
    <row r="1" spans="34:81" ht="15.75"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5.75">
      <c r="A2" s="35" t="s">
        <v>388</v>
      </c>
      <c r="C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9.5">
      <c r="A3" s="1" t="s">
        <v>160</v>
      </c>
      <c r="B3" s="108">
        <f ca="1">TRUNC(NOW())</f>
        <v>42721</v>
      </c>
      <c r="C3" s="3"/>
      <c r="E3" s="34"/>
      <c r="G3" s="34"/>
      <c r="J3" s="36" t="s">
        <v>161</v>
      </c>
      <c r="S3" s="36" t="s">
        <v>161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5.75">
      <c r="A4" s="109" t="s">
        <v>162</v>
      </c>
      <c r="B4" s="148" t="s">
        <v>389</v>
      </c>
      <c r="C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34:81" ht="15.75"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5.75">
      <c r="A6" s="110" t="s">
        <v>163</v>
      </c>
      <c r="B6" s="110" t="s">
        <v>164</v>
      </c>
      <c r="C6" s="111" t="s">
        <v>165</v>
      </c>
      <c r="D6" s="110" t="s">
        <v>166</v>
      </c>
      <c r="E6" s="110" t="s">
        <v>35</v>
      </c>
      <c r="F6" s="112" t="s">
        <v>167</v>
      </c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168</v>
      </c>
      <c r="R6" s="113"/>
      <c r="S6" s="113"/>
      <c r="T6" s="113"/>
      <c r="U6" s="113"/>
      <c r="V6" s="113"/>
      <c r="W6" s="113"/>
      <c r="X6" s="113"/>
      <c r="Y6" s="113"/>
      <c r="Z6" s="113"/>
      <c r="AA6" s="114"/>
      <c r="AB6" s="24"/>
      <c r="AC6" s="24"/>
      <c r="AD6" s="24"/>
      <c r="AE6" s="24"/>
      <c r="AF6" s="24"/>
      <c r="AG6" s="2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15.75">
      <c r="A7" s="47" t="s">
        <v>169</v>
      </c>
      <c r="B7" s="116">
        <f>D7/E7</f>
        <v>2.9050925925925926</v>
      </c>
      <c r="C7" s="117" t="s">
        <v>149</v>
      </c>
      <c r="D7" s="65">
        <v>2.51</v>
      </c>
      <c r="E7" s="65">
        <v>0.864</v>
      </c>
      <c r="F7" s="65">
        <v>0</v>
      </c>
      <c r="G7" s="65">
        <v>10</v>
      </c>
      <c r="H7" s="65">
        <v>20</v>
      </c>
      <c r="I7" s="65">
        <v>30</v>
      </c>
      <c r="J7" s="118">
        <v>40</v>
      </c>
      <c r="K7" s="65">
        <v>50</v>
      </c>
      <c r="L7" s="65">
        <v>60</v>
      </c>
      <c r="M7" s="118">
        <v>70</v>
      </c>
      <c r="N7" s="118">
        <v>80</v>
      </c>
      <c r="O7" s="118">
        <v>90</v>
      </c>
      <c r="P7" s="118">
        <v>100</v>
      </c>
      <c r="Q7" s="119">
        <v>0</v>
      </c>
      <c r="R7" s="65">
        <v>10</v>
      </c>
      <c r="S7" s="65">
        <v>20</v>
      </c>
      <c r="T7" s="65">
        <v>30</v>
      </c>
      <c r="U7" s="118">
        <v>40</v>
      </c>
      <c r="V7" s="65">
        <v>50</v>
      </c>
      <c r="W7" s="65">
        <v>60</v>
      </c>
      <c r="X7" s="65">
        <v>70</v>
      </c>
      <c r="Y7" s="118">
        <v>80</v>
      </c>
      <c r="Z7" s="118">
        <v>90</v>
      </c>
      <c r="AA7" s="118">
        <v>100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15.75">
      <c r="A8" s="47" t="s">
        <v>170</v>
      </c>
      <c r="B8" s="107">
        <f>D8/E8</f>
        <v>4.500558659217877</v>
      </c>
      <c r="C8" s="120" t="s">
        <v>171</v>
      </c>
      <c r="D8" s="64">
        <v>4.028</v>
      </c>
      <c r="E8" s="64">
        <v>0.895</v>
      </c>
      <c r="F8" s="107">
        <f aca="true" t="shared" si="0" ref="F8:O8">100-F7</f>
        <v>100</v>
      </c>
      <c r="G8" s="107">
        <f t="shared" si="0"/>
        <v>90</v>
      </c>
      <c r="H8" s="107">
        <f t="shared" si="0"/>
        <v>80</v>
      </c>
      <c r="I8" s="107">
        <f t="shared" si="0"/>
        <v>70</v>
      </c>
      <c r="J8" s="121">
        <f t="shared" si="0"/>
        <v>60</v>
      </c>
      <c r="K8" s="107">
        <f t="shared" si="0"/>
        <v>50</v>
      </c>
      <c r="L8" s="107">
        <f t="shared" si="0"/>
        <v>40</v>
      </c>
      <c r="M8" s="121">
        <f t="shared" si="0"/>
        <v>30</v>
      </c>
      <c r="N8" s="121">
        <f t="shared" si="0"/>
        <v>20</v>
      </c>
      <c r="O8" s="121">
        <f t="shared" si="0"/>
        <v>10</v>
      </c>
      <c r="P8" s="121">
        <f aca="true" t="shared" si="1" ref="P8:AA8">100-P7</f>
        <v>0</v>
      </c>
      <c r="Q8" s="122">
        <f t="shared" si="1"/>
        <v>100</v>
      </c>
      <c r="R8" s="107">
        <f t="shared" si="1"/>
        <v>90</v>
      </c>
      <c r="S8" s="107">
        <f t="shared" si="1"/>
        <v>80</v>
      </c>
      <c r="T8" s="107">
        <f t="shared" si="1"/>
        <v>70</v>
      </c>
      <c r="U8" s="121">
        <f t="shared" si="1"/>
        <v>60</v>
      </c>
      <c r="V8" s="107">
        <f t="shared" si="1"/>
        <v>50</v>
      </c>
      <c r="W8" s="107">
        <f t="shared" si="1"/>
        <v>40</v>
      </c>
      <c r="X8" s="107">
        <f t="shared" si="1"/>
        <v>30</v>
      </c>
      <c r="Y8" s="121">
        <f t="shared" si="1"/>
        <v>20</v>
      </c>
      <c r="Z8" s="121">
        <f t="shared" si="1"/>
        <v>10</v>
      </c>
      <c r="AA8" s="121">
        <f t="shared" si="1"/>
        <v>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15.75">
      <c r="A9" s="123"/>
      <c r="B9" s="15"/>
      <c r="C9" s="56" t="s">
        <v>35</v>
      </c>
      <c r="D9" s="65"/>
      <c r="E9" s="124"/>
      <c r="F9" s="116">
        <f aca="true" t="shared" si="2" ref="F9:P9">((F$7*$E$7)+(F$8*$E$8))/100</f>
        <v>0.895</v>
      </c>
      <c r="G9" s="116">
        <f t="shared" si="2"/>
        <v>0.8919</v>
      </c>
      <c r="H9" s="116">
        <f t="shared" si="2"/>
        <v>0.8887999999999999</v>
      </c>
      <c r="I9" s="116">
        <f t="shared" si="2"/>
        <v>0.8856999999999999</v>
      </c>
      <c r="J9" s="125">
        <f t="shared" si="2"/>
        <v>0.8826</v>
      </c>
      <c r="K9" s="116">
        <f t="shared" si="2"/>
        <v>0.8795000000000001</v>
      </c>
      <c r="L9" s="116">
        <f t="shared" si="2"/>
        <v>0.8763999999999998</v>
      </c>
      <c r="M9" s="125">
        <f t="shared" si="2"/>
        <v>0.8733</v>
      </c>
      <c r="N9" s="125">
        <f t="shared" si="2"/>
        <v>0.8702000000000001</v>
      </c>
      <c r="O9" s="125">
        <f t="shared" si="2"/>
        <v>0.8671000000000001</v>
      </c>
      <c r="P9" s="125">
        <f t="shared" si="2"/>
        <v>0.8640000000000001</v>
      </c>
      <c r="Q9" s="126">
        <f aca="true" t="shared" si="3" ref="Q9:AA9">$E$7*$E$8/((Q$7*$E$8)+(Q$8*$E$7))*100</f>
        <v>0.895</v>
      </c>
      <c r="R9" s="116">
        <f t="shared" si="3"/>
        <v>0.8918002537192941</v>
      </c>
      <c r="S9" s="116">
        <f t="shared" si="3"/>
        <v>0.8886233049873592</v>
      </c>
      <c r="T9" s="116">
        <f t="shared" si="3"/>
        <v>0.8854689110271384</v>
      </c>
      <c r="U9" s="125">
        <f t="shared" si="3"/>
        <v>0.8823368324965769</v>
      </c>
      <c r="V9" s="116">
        <f t="shared" si="3"/>
        <v>0.8792268334280842</v>
      </c>
      <c r="W9" s="116">
        <f t="shared" si="3"/>
        <v>0.8761386811692725</v>
      </c>
      <c r="X9" s="116">
        <f t="shared" si="3"/>
        <v>0.8730721463249408</v>
      </c>
      <c r="Y9" s="125">
        <f t="shared" si="3"/>
        <v>0.87002700270027</v>
      </c>
      <c r="Z9" s="125">
        <f t="shared" si="3"/>
        <v>0.8670030272452068</v>
      </c>
      <c r="AA9" s="125">
        <f t="shared" si="3"/>
        <v>0.864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5.75">
      <c r="A10" s="23"/>
      <c r="B10" s="127" t="s">
        <v>172</v>
      </c>
      <c r="C10" s="55" t="s">
        <v>173</v>
      </c>
      <c r="D10" s="61"/>
      <c r="E10" s="3"/>
      <c r="F10" s="62">
        <f aca="true" t="shared" si="4" ref="F10:P10">((F$7*$D$7)+(F$8*$D$8))/100</f>
        <v>4.028</v>
      </c>
      <c r="G10" s="62">
        <f t="shared" si="4"/>
        <v>3.8762</v>
      </c>
      <c r="H10" s="62">
        <f t="shared" si="4"/>
        <v>3.7243999999999993</v>
      </c>
      <c r="I10" s="62">
        <f t="shared" si="4"/>
        <v>3.5726</v>
      </c>
      <c r="J10" s="128">
        <f t="shared" si="4"/>
        <v>3.4208</v>
      </c>
      <c r="K10" s="62">
        <f t="shared" si="4"/>
        <v>3.2689999999999997</v>
      </c>
      <c r="L10" s="62">
        <f t="shared" si="4"/>
        <v>3.1171999999999995</v>
      </c>
      <c r="M10" s="128">
        <f t="shared" si="4"/>
        <v>2.9654</v>
      </c>
      <c r="N10" s="128">
        <f t="shared" si="4"/>
        <v>2.8135999999999997</v>
      </c>
      <c r="O10" s="128">
        <f t="shared" si="4"/>
        <v>2.6617999999999995</v>
      </c>
      <c r="P10" s="128">
        <f t="shared" si="4"/>
        <v>2.51</v>
      </c>
      <c r="Q10" s="129">
        <f aca="true" t="shared" si="5" ref="Q10:AA10">IF(Q9=0,"",+Q11*Q9)</f>
        <v>4.028</v>
      </c>
      <c r="R10" s="62">
        <f t="shared" si="5"/>
        <v>3.8713156498673724</v>
      </c>
      <c r="S10" s="62">
        <f t="shared" si="5"/>
        <v>3.7157476442197193</v>
      </c>
      <c r="T10" s="62">
        <f t="shared" si="5"/>
        <v>3.561284094812779</v>
      </c>
      <c r="U10" s="128">
        <f t="shared" si="5"/>
        <v>3.407913281606572</v>
      </c>
      <c r="V10" s="62">
        <f t="shared" si="5"/>
        <v>3.2556236498010227</v>
      </c>
      <c r="W10" s="62">
        <f t="shared" si="5"/>
        <v>3.1044038069340574</v>
      </c>
      <c r="X10" s="62">
        <f t="shared" si="5"/>
        <v>2.9542425200406455</v>
      </c>
      <c r="Y10" s="128">
        <f t="shared" si="5"/>
        <v>2.8051287128712867</v>
      </c>
      <c r="Z10" s="128">
        <f t="shared" si="5"/>
        <v>2.657051463168516</v>
      </c>
      <c r="AA10" s="128">
        <f t="shared" si="5"/>
        <v>2.51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16.5" thickBot="1">
      <c r="A11" s="25"/>
      <c r="B11" s="18"/>
      <c r="C11" s="58" t="s">
        <v>174</v>
      </c>
      <c r="D11" s="64"/>
      <c r="E11" s="70"/>
      <c r="F11" s="107">
        <f aca="true" t="shared" si="6" ref="F11:P11">IF(F9=0,"",+F10/F9)</f>
        <v>4.500558659217877</v>
      </c>
      <c r="G11" s="107">
        <f t="shared" si="6"/>
        <v>4.3460029151250135</v>
      </c>
      <c r="H11" s="107">
        <f t="shared" si="6"/>
        <v>4.19036903690369</v>
      </c>
      <c r="I11" s="107">
        <f t="shared" si="6"/>
        <v>4.033645703962968</v>
      </c>
      <c r="J11" s="121">
        <f t="shared" si="6"/>
        <v>3.8758214366644004</v>
      </c>
      <c r="K11" s="107">
        <f t="shared" si="6"/>
        <v>3.7168845935190444</v>
      </c>
      <c r="L11" s="107">
        <f t="shared" si="6"/>
        <v>3.5568233683249657</v>
      </c>
      <c r="M11" s="121">
        <f t="shared" si="6"/>
        <v>3.395625787243788</v>
      </c>
      <c r="N11" s="121">
        <f t="shared" si="6"/>
        <v>3.2332797058147547</v>
      </c>
      <c r="O11" s="121">
        <f t="shared" si="6"/>
        <v>3.069772805904739</v>
      </c>
      <c r="P11" s="121">
        <f t="shared" si="6"/>
        <v>2.905092592592592</v>
      </c>
      <c r="Q11" s="122">
        <f aca="true" t="shared" si="7" ref="Q11:AA11">((Q$7*$B$7)+(Q$8*$B$8))/100</f>
        <v>4.500558659217877</v>
      </c>
      <c r="R11" s="107">
        <f t="shared" si="7"/>
        <v>4.341012052555348</v>
      </c>
      <c r="S11" s="107">
        <f t="shared" si="7"/>
        <v>4.18146544589282</v>
      </c>
      <c r="T11" s="107">
        <f t="shared" si="7"/>
        <v>4.021918839230292</v>
      </c>
      <c r="U11" s="121">
        <f t="shared" si="7"/>
        <v>3.862372232567763</v>
      </c>
      <c r="V11" s="107">
        <f t="shared" si="7"/>
        <v>3.702825625905234</v>
      </c>
      <c r="W11" s="107">
        <f t="shared" si="7"/>
        <v>3.5432790192427057</v>
      </c>
      <c r="X11" s="107">
        <f t="shared" si="7"/>
        <v>3.3837324125801773</v>
      </c>
      <c r="Y11" s="121">
        <f t="shared" si="7"/>
        <v>3.224185805917649</v>
      </c>
      <c r="Z11" s="121">
        <f t="shared" si="7"/>
        <v>3.0646391992551205</v>
      </c>
      <c r="AA11" s="121">
        <f t="shared" si="7"/>
        <v>2.9050925925925926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6.5" thickTop="1">
      <c r="A12" s="130" t="s">
        <v>175</v>
      </c>
      <c r="B12" s="130" t="s">
        <v>164</v>
      </c>
      <c r="C12" s="131" t="s">
        <v>165</v>
      </c>
      <c r="D12" s="130" t="s">
        <v>166</v>
      </c>
      <c r="E12" s="130" t="s">
        <v>35</v>
      </c>
      <c r="F12" s="132" t="s">
        <v>167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35" t="s">
        <v>168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5.75">
      <c r="A13" s="47" t="s">
        <v>169</v>
      </c>
      <c r="B13" s="116">
        <f>D13/E13</f>
        <v>2.9050925925925926</v>
      </c>
      <c r="C13" s="117" t="s">
        <v>149</v>
      </c>
      <c r="D13" s="65">
        <v>2.51</v>
      </c>
      <c r="E13" s="65">
        <v>0.864</v>
      </c>
      <c r="F13" s="65">
        <v>0</v>
      </c>
      <c r="G13" s="65">
        <v>10</v>
      </c>
      <c r="H13" s="65">
        <v>20</v>
      </c>
      <c r="I13" s="65">
        <v>30</v>
      </c>
      <c r="J13" s="118">
        <v>40</v>
      </c>
      <c r="K13" s="65">
        <v>50</v>
      </c>
      <c r="L13" s="65">
        <v>60</v>
      </c>
      <c r="M13" s="118">
        <v>70</v>
      </c>
      <c r="N13" s="118">
        <v>80</v>
      </c>
      <c r="O13" s="118">
        <v>90</v>
      </c>
      <c r="P13" s="118">
        <v>100</v>
      </c>
      <c r="Q13" s="119">
        <v>0</v>
      </c>
      <c r="R13" s="65">
        <v>10</v>
      </c>
      <c r="S13" s="65">
        <v>20</v>
      </c>
      <c r="T13" s="65">
        <v>30</v>
      </c>
      <c r="U13" s="118">
        <v>40</v>
      </c>
      <c r="V13" s="65">
        <v>50</v>
      </c>
      <c r="W13" s="65">
        <v>60</v>
      </c>
      <c r="X13" s="65">
        <v>70</v>
      </c>
      <c r="Y13" s="118">
        <v>80</v>
      </c>
      <c r="Z13" s="118">
        <v>90</v>
      </c>
      <c r="AA13" s="118">
        <v>100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15.75">
      <c r="A14" s="47" t="s">
        <v>170</v>
      </c>
      <c r="B14" s="107">
        <f>D14/E14</f>
        <v>6.099773242630385</v>
      </c>
      <c r="C14" s="120" t="s">
        <v>176</v>
      </c>
      <c r="D14" s="64">
        <v>5.38</v>
      </c>
      <c r="E14" s="64">
        <v>0.882</v>
      </c>
      <c r="F14" s="107">
        <f>100-F13</f>
        <v>100</v>
      </c>
      <c r="G14" s="107">
        <f>100-G13</f>
        <v>90</v>
      </c>
      <c r="H14" s="107">
        <f>100-H13</f>
        <v>80</v>
      </c>
      <c r="I14" s="107">
        <f>100-I13</f>
        <v>70</v>
      </c>
      <c r="J14" s="121">
        <f>100-J13</f>
        <v>60</v>
      </c>
      <c r="K14" s="107">
        <v>50</v>
      </c>
      <c r="L14" s="107">
        <f aca="true" t="shared" si="8" ref="L14:U14">100-L13</f>
        <v>40</v>
      </c>
      <c r="M14" s="121">
        <f t="shared" si="8"/>
        <v>30</v>
      </c>
      <c r="N14" s="121">
        <f t="shared" si="8"/>
        <v>20</v>
      </c>
      <c r="O14" s="121">
        <f t="shared" si="8"/>
        <v>10</v>
      </c>
      <c r="P14" s="121">
        <f t="shared" si="8"/>
        <v>0</v>
      </c>
      <c r="Q14" s="122">
        <f t="shared" si="8"/>
        <v>100</v>
      </c>
      <c r="R14" s="107">
        <f t="shared" si="8"/>
        <v>90</v>
      </c>
      <c r="S14" s="107">
        <f t="shared" si="8"/>
        <v>80</v>
      </c>
      <c r="T14" s="107">
        <f t="shared" si="8"/>
        <v>70</v>
      </c>
      <c r="U14" s="121">
        <f t="shared" si="8"/>
        <v>60</v>
      </c>
      <c r="V14" s="107">
        <v>50</v>
      </c>
      <c r="W14" s="107">
        <f>100-W13</f>
        <v>40</v>
      </c>
      <c r="X14" s="107">
        <f>100-X13</f>
        <v>30</v>
      </c>
      <c r="Y14" s="121">
        <f>100-Y13</f>
        <v>20</v>
      </c>
      <c r="Z14" s="121">
        <f>100-Z13</f>
        <v>10</v>
      </c>
      <c r="AA14" s="121">
        <f>100-AA13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15.75">
      <c r="A15" s="123"/>
      <c r="B15" s="15"/>
      <c r="C15" s="56" t="s">
        <v>35</v>
      </c>
      <c r="D15" s="65"/>
      <c r="E15" s="124"/>
      <c r="F15" s="116">
        <f aca="true" t="shared" si="9" ref="F15:P15">((F$13*$E$13)+(F$14*$E$14))/100</f>
        <v>0.882</v>
      </c>
      <c r="G15" s="116">
        <f t="shared" si="9"/>
        <v>0.8802</v>
      </c>
      <c r="H15" s="116">
        <f t="shared" si="9"/>
        <v>0.8784000000000001</v>
      </c>
      <c r="I15" s="116">
        <f t="shared" si="9"/>
        <v>0.8765999999999999</v>
      </c>
      <c r="J15" s="125">
        <f t="shared" si="9"/>
        <v>0.8748</v>
      </c>
      <c r="K15" s="116">
        <f t="shared" si="9"/>
        <v>0.8730000000000001</v>
      </c>
      <c r="L15" s="116">
        <f t="shared" si="9"/>
        <v>0.8712000000000001</v>
      </c>
      <c r="M15" s="125">
        <f t="shared" si="9"/>
        <v>0.8694</v>
      </c>
      <c r="N15" s="125">
        <f t="shared" si="9"/>
        <v>0.8676</v>
      </c>
      <c r="O15" s="125">
        <f t="shared" si="9"/>
        <v>0.8658000000000001</v>
      </c>
      <c r="P15" s="125">
        <f t="shared" si="9"/>
        <v>0.8640000000000001</v>
      </c>
      <c r="Q15" s="126">
        <f aca="true" t="shared" si="10" ref="Q15:AA15">$E$13*$E$14/((Q$13*$E$14)+(Q$14*$E$13))*100</f>
        <v>0.8819999999999998</v>
      </c>
      <c r="R15" s="116">
        <f t="shared" si="10"/>
        <v>0.8801663201663199</v>
      </c>
      <c r="S15" s="116">
        <f t="shared" si="10"/>
        <v>0.8783402489626555</v>
      </c>
      <c r="T15" s="116">
        <f t="shared" si="10"/>
        <v>0.8765217391304347</v>
      </c>
      <c r="U15" s="125">
        <f t="shared" si="10"/>
        <v>0.8747107438016528</v>
      </c>
      <c r="V15" s="116">
        <f t="shared" si="10"/>
        <v>0.8729072164948452</v>
      </c>
      <c r="W15" s="116">
        <f t="shared" si="10"/>
        <v>0.8711111111111111</v>
      </c>
      <c r="X15" s="116">
        <f t="shared" si="10"/>
        <v>0.8693223819301849</v>
      </c>
      <c r="Y15" s="125">
        <f t="shared" si="10"/>
        <v>0.8675409836065573</v>
      </c>
      <c r="Z15" s="125">
        <f t="shared" si="10"/>
        <v>0.8657668711656441</v>
      </c>
      <c r="AA15" s="125">
        <f t="shared" si="10"/>
        <v>0.8639999999999999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81" ht="15.75">
      <c r="A16" s="23"/>
      <c r="B16" s="127" t="s">
        <v>172</v>
      </c>
      <c r="C16" s="55" t="s">
        <v>173</v>
      </c>
      <c r="D16" s="61"/>
      <c r="E16" s="3"/>
      <c r="F16" s="62">
        <f aca="true" t="shared" si="11" ref="F16:P16">((F$13*$D$13)+(F$14*$D$14))/100</f>
        <v>5.38</v>
      </c>
      <c r="G16" s="62">
        <f t="shared" si="11"/>
        <v>5.093</v>
      </c>
      <c r="H16" s="62">
        <f t="shared" si="11"/>
        <v>4.806</v>
      </c>
      <c r="I16" s="62">
        <f t="shared" si="11"/>
        <v>4.519</v>
      </c>
      <c r="J16" s="128">
        <f t="shared" si="11"/>
        <v>4.232</v>
      </c>
      <c r="K16" s="62">
        <f t="shared" si="11"/>
        <v>3.945</v>
      </c>
      <c r="L16" s="62">
        <f t="shared" si="11"/>
        <v>3.6579999999999995</v>
      </c>
      <c r="M16" s="128">
        <f t="shared" si="11"/>
        <v>3.3710000000000004</v>
      </c>
      <c r="N16" s="128">
        <f t="shared" si="11"/>
        <v>3.0839999999999996</v>
      </c>
      <c r="O16" s="128">
        <f t="shared" si="11"/>
        <v>2.7969999999999997</v>
      </c>
      <c r="P16" s="128">
        <f t="shared" si="11"/>
        <v>2.51</v>
      </c>
      <c r="Q16" s="129">
        <f aca="true" t="shared" si="12" ref="Q16:AA16">IF(Q15=0,"",+Q17*Q15)</f>
        <v>5.379999999999999</v>
      </c>
      <c r="R16" s="62">
        <f t="shared" si="12"/>
        <v>5.087629937629935</v>
      </c>
      <c r="S16" s="62">
        <f t="shared" si="12"/>
        <v>4.796473029045641</v>
      </c>
      <c r="T16" s="62">
        <f t="shared" si="12"/>
        <v>4.506521739130434</v>
      </c>
      <c r="U16" s="128">
        <f t="shared" si="12"/>
        <v>4.2177685950413215</v>
      </c>
      <c r="V16" s="62">
        <f t="shared" si="12"/>
        <v>3.930206185567009</v>
      </c>
      <c r="W16" s="62">
        <f t="shared" si="12"/>
        <v>3.643827160493827</v>
      </c>
      <c r="X16" s="62">
        <f t="shared" si="12"/>
        <v>3.3586242299794655</v>
      </c>
      <c r="Y16" s="128">
        <f t="shared" si="12"/>
        <v>3.074590163934426</v>
      </c>
      <c r="Z16" s="128">
        <f t="shared" si="12"/>
        <v>2.7917177914110427</v>
      </c>
      <c r="AA16" s="128">
        <f t="shared" si="12"/>
        <v>2.51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6.5" thickBot="1">
      <c r="A17" s="25"/>
      <c r="B17" s="18"/>
      <c r="C17" s="58" t="s">
        <v>174</v>
      </c>
      <c r="D17" s="64"/>
      <c r="E17" s="70"/>
      <c r="F17" s="107">
        <f aca="true" t="shared" si="13" ref="F17:P17">IF(F15=0,"",+F16/F15)</f>
        <v>6.099773242630385</v>
      </c>
      <c r="G17" s="107">
        <f t="shared" si="13"/>
        <v>5.7861849579641</v>
      </c>
      <c r="H17" s="107">
        <f t="shared" si="13"/>
        <v>5.471311475409836</v>
      </c>
      <c r="I17" s="107">
        <f t="shared" si="13"/>
        <v>5.155144877937486</v>
      </c>
      <c r="J17" s="121">
        <f t="shared" si="13"/>
        <v>4.837677183356196</v>
      </c>
      <c r="K17" s="107">
        <f t="shared" si="13"/>
        <v>4.518900343642611</v>
      </c>
      <c r="L17" s="107">
        <f t="shared" si="13"/>
        <v>4.198806244260789</v>
      </c>
      <c r="M17" s="121">
        <f t="shared" si="13"/>
        <v>3.8773867034736607</v>
      </c>
      <c r="N17" s="121">
        <f t="shared" si="13"/>
        <v>3.554633471645919</v>
      </c>
      <c r="O17" s="121">
        <f t="shared" si="13"/>
        <v>3.2305382305382295</v>
      </c>
      <c r="P17" s="121">
        <f t="shared" si="13"/>
        <v>2.905092592592592</v>
      </c>
      <c r="Q17" s="122">
        <f aca="true" t="shared" si="14" ref="Q17:AA17">((Q$13*$B$13)+(Q$14*$B$14))/100</f>
        <v>6.099773242630386</v>
      </c>
      <c r="R17" s="107">
        <f t="shared" si="14"/>
        <v>5.780305177626605</v>
      </c>
      <c r="S17" s="107">
        <f t="shared" si="14"/>
        <v>5.4608371126228255</v>
      </c>
      <c r="T17" s="107">
        <f t="shared" si="14"/>
        <v>5.1413690476190474</v>
      </c>
      <c r="U17" s="121">
        <f t="shared" si="14"/>
        <v>4.821900982615268</v>
      </c>
      <c r="V17" s="107">
        <f t="shared" si="14"/>
        <v>4.502432917611489</v>
      </c>
      <c r="W17" s="107">
        <f t="shared" si="14"/>
        <v>4.18296485260771</v>
      </c>
      <c r="X17" s="107">
        <f t="shared" si="14"/>
        <v>3.8634967876039297</v>
      </c>
      <c r="Y17" s="121">
        <f t="shared" si="14"/>
        <v>3.5440287226001512</v>
      </c>
      <c r="Z17" s="121">
        <f t="shared" si="14"/>
        <v>3.224560657596372</v>
      </c>
      <c r="AA17" s="121">
        <f t="shared" si="14"/>
        <v>2.9050925925925926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16.5" thickTop="1">
      <c r="A18" s="74" t="s">
        <v>177</v>
      </c>
      <c r="B18" s="136"/>
      <c r="C18" s="137"/>
      <c r="D18" s="138"/>
      <c r="E18" s="139"/>
      <c r="F18" s="136"/>
      <c r="G18" s="136"/>
      <c r="H18" s="136"/>
      <c r="I18" s="136"/>
      <c r="J18" s="140"/>
      <c r="K18" s="136"/>
      <c r="L18" s="136"/>
      <c r="M18" s="140"/>
      <c r="N18" s="140"/>
      <c r="O18" s="140"/>
      <c r="P18" s="140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15.75">
      <c r="A19" s="45" t="s">
        <v>178</v>
      </c>
      <c r="B19" s="62">
        <f>IF(E19=0,"",+D19/E19)</f>
        <v>4.710199004975124</v>
      </c>
      <c r="C19" s="66" t="s">
        <v>179</v>
      </c>
      <c r="D19" s="141">
        <v>3.787</v>
      </c>
      <c r="E19" s="3">
        <v>0.804</v>
      </c>
      <c r="F19" s="12"/>
      <c r="G19" s="12"/>
      <c r="H19" s="12"/>
      <c r="I19" s="12"/>
      <c r="J19" s="142"/>
      <c r="K19" s="12"/>
      <c r="L19" s="12"/>
      <c r="M19" s="142"/>
      <c r="N19" s="142"/>
      <c r="O19" s="142"/>
      <c r="P19" s="142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81" ht="15.75">
      <c r="A20" s="23"/>
      <c r="B20" s="62">
        <f>IF(E20=0,"",+D20/E20)</f>
        <v>0</v>
      </c>
      <c r="C20" s="66" t="s">
        <v>180</v>
      </c>
      <c r="D20" s="141">
        <v>0</v>
      </c>
      <c r="E20" s="3">
        <v>0.869</v>
      </c>
      <c r="F20" s="12"/>
      <c r="G20" s="12"/>
      <c r="H20" s="12"/>
      <c r="I20" s="12"/>
      <c r="J20" s="142"/>
      <c r="K20" s="12"/>
      <c r="L20" s="12"/>
      <c r="M20" s="142"/>
      <c r="N20" s="142"/>
      <c r="O20" s="142"/>
      <c r="P20" s="14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</row>
    <row r="21" spans="1:81" ht="15.75">
      <c r="A21" s="23"/>
      <c r="B21" s="62">
        <f>IF(E21=0,"",+D21/E21)</f>
        <v>4.050561797752809</v>
      </c>
      <c r="C21" s="66" t="s">
        <v>181</v>
      </c>
      <c r="D21" s="141">
        <v>3.605</v>
      </c>
      <c r="E21" s="3">
        <v>0.89</v>
      </c>
      <c r="F21" s="12"/>
      <c r="G21" s="12"/>
      <c r="H21" s="12"/>
      <c r="I21" s="12"/>
      <c r="J21" s="142"/>
      <c r="K21" s="12"/>
      <c r="L21" s="12"/>
      <c r="M21" s="142"/>
      <c r="N21" s="142"/>
      <c r="O21" s="142"/>
      <c r="P21" s="14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ht="15.75">
      <c r="A22" s="25"/>
      <c r="B22" s="107">
        <f>IF(E22=0,"",+D22/E22)</f>
        <v>5.300000000000001</v>
      </c>
      <c r="C22" s="120" t="s">
        <v>182</v>
      </c>
      <c r="D22" s="143">
        <v>4.346</v>
      </c>
      <c r="E22" s="70">
        <v>0.82</v>
      </c>
      <c r="F22" s="17"/>
      <c r="G22" s="17"/>
      <c r="H22" s="17"/>
      <c r="I22" s="17"/>
      <c r="J22" s="20"/>
      <c r="K22" s="17"/>
      <c r="L22" s="17"/>
      <c r="M22" s="20"/>
      <c r="N22" s="20"/>
      <c r="O22" s="20"/>
      <c r="P22" s="20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1:81" ht="16.5" thickBot="1">
      <c r="A23" s="24"/>
      <c r="C23" s="3"/>
      <c r="D23" s="3"/>
      <c r="E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81" ht="16.5" thickTop="1">
      <c r="A24" s="131" t="s">
        <v>183</v>
      </c>
      <c r="B24" s="130" t="s">
        <v>164</v>
      </c>
      <c r="C24" s="131" t="s">
        <v>165</v>
      </c>
      <c r="D24" s="130" t="s">
        <v>166</v>
      </c>
      <c r="E24" s="130" t="s">
        <v>35</v>
      </c>
      <c r="F24" s="132" t="s">
        <v>167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4"/>
      <c r="Q24" s="135" t="s">
        <v>168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4"/>
      <c r="AB24" s="42"/>
      <c r="AC24" s="42"/>
      <c r="AD24" s="42"/>
      <c r="AE24" s="42"/>
      <c r="AF24" s="42"/>
      <c r="AG24" s="42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ht="15.75">
      <c r="A25" s="47" t="s">
        <v>169</v>
      </c>
      <c r="B25" s="116">
        <f>IF(E25=0,"",+D25/E25)</f>
        <v>4.710199004975124</v>
      </c>
      <c r="C25" s="117" t="s">
        <v>134</v>
      </c>
      <c r="D25" s="65">
        <v>3.787</v>
      </c>
      <c r="E25" s="65">
        <v>0.804</v>
      </c>
      <c r="F25" s="65">
        <v>0</v>
      </c>
      <c r="G25" s="65">
        <v>10</v>
      </c>
      <c r="H25" s="65">
        <v>20</v>
      </c>
      <c r="I25" s="65">
        <v>30</v>
      </c>
      <c r="J25" s="118">
        <v>40</v>
      </c>
      <c r="K25" s="65">
        <v>50</v>
      </c>
      <c r="L25" s="65">
        <v>60</v>
      </c>
      <c r="M25" s="118">
        <v>65</v>
      </c>
      <c r="N25" s="118">
        <v>70</v>
      </c>
      <c r="O25" s="118">
        <v>80</v>
      </c>
      <c r="P25" s="118">
        <v>100</v>
      </c>
      <c r="Q25" s="119">
        <v>0</v>
      </c>
      <c r="R25" s="65">
        <v>10</v>
      </c>
      <c r="S25" s="65">
        <v>20</v>
      </c>
      <c r="T25" s="65">
        <v>30</v>
      </c>
      <c r="U25" s="118">
        <v>40</v>
      </c>
      <c r="V25" s="65">
        <v>50</v>
      </c>
      <c r="W25" s="65">
        <v>60</v>
      </c>
      <c r="X25" s="65">
        <v>65</v>
      </c>
      <c r="Y25" s="118">
        <v>70</v>
      </c>
      <c r="Z25" s="118">
        <v>80</v>
      </c>
      <c r="AA25" s="118">
        <v>100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ht="15.75">
      <c r="A26" s="47" t="s">
        <v>170</v>
      </c>
      <c r="B26" s="107">
        <f>D26/E26</f>
        <v>6.099773242630385</v>
      </c>
      <c r="C26" s="120" t="s">
        <v>176</v>
      </c>
      <c r="D26" s="64">
        <v>5.38</v>
      </c>
      <c r="E26" s="64">
        <v>0.882</v>
      </c>
      <c r="F26" s="107">
        <f>100-F25</f>
        <v>100</v>
      </c>
      <c r="G26" s="107">
        <f>100-G25</f>
        <v>90</v>
      </c>
      <c r="H26" s="107">
        <f>100-H25</f>
        <v>80</v>
      </c>
      <c r="I26" s="107">
        <f>100-I25</f>
        <v>70</v>
      </c>
      <c r="J26" s="121">
        <f>100-J25</f>
        <v>60</v>
      </c>
      <c r="K26" s="107">
        <v>50</v>
      </c>
      <c r="L26" s="107">
        <f aca="true" t="shared" si="15" ref="L26:U26">100-L25</f>
        <v>40</v>
      </c>
      <c r="M26" s="121">
        <f t="shared" si="15"/>
        <v>35</v>
      </c>
      <c r="N26" s="121">
        <f t="shared" si="15"/>
        <v>30</v>
      </c>
      <c r="O26" s="121">
        <f t="shared" si="15"/>
        <v>20</v>
      </c>
      <c r="P26" s="121">
        <f t="shared" si="15"/>
        <v>0</v>
      </c>
      <c r="Q26" s="122">
        <f t="shared" si="15"/>
        <v>100</v>
      </c>
      <c r="R26" s="107">
        <f t="shared" si="15"/>
        <v>90</v>
      </c>
      <c r="S26" s="107">
        <f t="shared" si="15"/>
        <v>80</v>
      </c>
      <c r="T26" s="107">
        <f t="shared" si="15"/>
        <v>70</v>
      </c>
      <c r="U26" s="121">
        <f t="shared" si="15"/>
        <v>60</v>
      </c>
      <c r="V26" s="107">
        <v>50</v>
      </c>
      <c r="W26" s="107">
        <f>100-W25</f>
        <v>40</v>
      </c>
      <c r="X26" s="107">
        <f>100-X25</f>
        <v>35</v>
      </c>
      <c r="Y26" s="121">
        <f>100-Y25</f>
        <v>30</v>
      </c>
      <c r="Z26" s="121">
        <f>100-Z25</f>
        <v>20</v>
      </c>
      <c r="AA26" s="121">
        <f>100-AA25</f>
        <v>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1:81" ht="15.75">
      <c r="A27" s="123"/>
      <c r="B27" s="15"/>
      <c r="C27" s="56" t="s">
        <v>35</v>
      </c>
      <c r="D27" s="65"/>
      <c r="E27" s="124"/>
      <c r="F27" s="116">
        <f aca="true" t="shared" si="16" ref="F27:P27">((F$25*$E$25)+(F$26*$E$26))/100</f>
        <v>0.882</v>
      </c>
      <c r="G27" s="116">
        <f t="shared" si="16"/>
        <v>0.8742</v>
      </c>
      <c r="H27" s="116">
        <f t="shared" si="16"/>
        <v>0.8664000000000001</v>
      </c>
      <c r="I27" s="116">
        <f t="shared" si="16"/>
        <v>0.8586</v>
      </c>
      <c r="J27" s="125">
        <f t="shared" si="16"/>
        <v>0.8508000000000001</v>
      </c>
      <c r="K27" s="116">
        <f t="shared" si="16"/>
        <v>0.8430000000000001</v>
      </c>
      <c r="L27" s="116">
        <f t="shared" si="16"/>
        <v>0.8352</v>
      </c>
      <c r="M27" s="125">
        <f t="shared" si="16"/>
        <v>0.8313000000000001</v>
      </c>
      <c r="N27" s="125">
        <f t="shared" si="16"/>
        <v>0.8274000000000001</v>
      </c>
      <c r="O27" s="125">
        <f t="shared" si="16"/>
        <v>0.8196000000000001</v>
      </c>
      <c r="P27" s="125">
        <f t="shared" si="16"/>
        <v>0.804</v>
      </c>
      <c r="Q27" s="126">
        <f aca="true" t="shared" si="17" ref="Q27:AA27">$E$25*$E$26/((Q$25*$E$26)+(Q$26*$E$25))*100</f>
        <v>0.882</v>
      </c>
      <c r="R27" s="116">
        <f t="shared" si="17"/>
        <v>0.8735254988913526</v>
      </c>
      <c r="S27" s="116">
        <f t="shared" si="17"/>
        <v>0.865212298682284</v>
      </c>
      <c r="T27" s="116">
        <f t="shared" si="17"/>
        <v>0.8570558375634517</v>
      </c>
      <c r="U27" s="125">
        <f t="shared" si="17"/>
        <v>0.8490517241379311</v>
      </c>
      <c r="V27" s="116">
        <f t="shared" si="17"/>
        <v>0.8411957295373665</v>
      </c>
      <c r="W27" s="116">
        <f t="shared" si="17"/>
        <v>0.8334837799717912</v>
      </c>
      <c r="X27" s="116">
        <f t="shared" si="17"/>
        <v>0.8296805896805898</v>
      </c>
      <c r="Y27" s="125">
        <f t="shared" si="17"/>
        <v>0.8259119496855347</v>
      </c>
      <c r="Z27" s="125">
        <f t="shared" si="17"/>
        <v>0.8184764542936288</v>
      </c>
      <c r="AA27" s="125">
        <f t="shared" si="17"/>
        <v>0.804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1:81" ht="15.75">
      <c r="A28" s="23"/>
      <c r="B28" s="127" t="s">
        <v>172</v>
      </c>
      <c r="C28" s="55" t="s">
        <v>173</v>
      </c>
      <c r="D28" s="61"/>
      <c r="E28" s="3"/>
      <c r="F28" s="62">
        <f aca="true" t="shared" si="18" ref="F28:P28">((F$25*$D$25)+(F$26*$D$26))/100</f>
        <v>5.38</v>
      </c>
      <c r="G28" s="62">
        <f t="shared" si="18"/>
        <v>5.220699999999999</v>
      </c>
      <c r="H28" s="62">
        <f t="shared" si="18"/>
        <v>5.0614</v>
      </c>
      <c r="I28" s="62">
        <f t="shared" si="18"/>
        <v>4.9021</v>
      </c>
      <c r="J28" s="128">
        <f t="shared" si="18"/>
        <v>4.7428</v>
      </c>
      <c r="K28" s="62">
        <f t="shared" si="18"/>
        <v>4.5835</v>
      </c>
      <c r="L28" s="62">
        <f t="shared" si="18"/>
        <v>4.4242</v>
      </c>
      <c r="M28" s="128">
        <f t="shared" si="18"/>
        <v>4.34455</v>
      </c>
      <c r="N28" s="128">
        <f t="shared" si="18"/>
        <v>4.2649</v>
      </c>
      <c r="O28" s="128">
        <f t="shared" si="18"/>
        <v>4.105599999999999</v>
      </c>
      <c r="P28" s="128">
        <f t="shared" si="18"/>
        <v>3.787</v>
      </c>
      <c r="Q28" s="129">
        <f aca="true" t="shared" si="19" ref="Q28:AA28">IF(Q27=0,"",+Q29*Q27)</f>
        <v>5.380000000000001</v>
      </c>
      <c r="R28" s="62">
        <f t="shared" si="19"/>
        <v>5.206924611973393</v>
      </c>
      <c r="S28" s="62">
        <f t="shared" si="19"/>
        <v>5.037143484626646</v>
      </c>
      <c r="T28" s="62">
        <f t="shared" si="19"/>
        <v>4.870563451776649</v>
      </c>
      <c r="U28" s="128">
        <f t="shared" si="19"/>
        <v>4.707094827586207</v>
      </c>
      <c r="V28" s="62">
        <f t="shared" si="19"/>
        <v>4.546651245551601</v>
      </c>
      <c r="W28" s="62">
        <f t="shared" si="19"/>
        <v>4.389149506346968</v>
      </c>
      <c r="X28" s="62">
        <f t="shared" si="19"/>
        <v>4.311476658476659</v>
      </c>
      <c r="Y28" s="128">
        <f t="shared" si="19"/>
        <v>4.2345094339622635</v>
      </c>
      <c r="Z28" s="128">
        <f t="shared" si="19"/>
        <v>4.082653739612188</v>
      </c>
      <c r="AA28" s="128">
        <f t="shared" si="19"/>
        <v>3.7869999999999995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1:81" ht="15.75">
      <c r="A29" s="25"/>
      <c r="B29" s="18"/>
      <c r="C29" s="58" t="s">
        <v>174</v>
      </c>
      <c r="D29" s="64"/>
      <c r="E29" s="70"/>
      <c r="F29" s="107">
        <f aca="true" t="shared" si="20" ref="F29:P29">IF(F27=0,"",+F28/F27)</f>
        <v>6.099773242630385</v>
      </c>
      <c r="G29" s="107">
        <f t="shared" si="20"/>
        <v>5.971974376572866</v>
      </c>
      <c r="H29" s="107">
        <f t="shared" si="20"/>
        <v>5.8418744228993535</v>
      </c>
      <c r="I29" s="107">
        <f t="shared" si="20"/>
        <v>5.709410668530165</v>
      </c>
      <c r="J29" s="121">
        <f t="shared" si="20"/>
        <v>5.574518100611189</v>
      </c>
      <c r="K29" s="107">
        <f t="shared" si="20"/>
        <v>5.437129300118623</v>
      </c>
      <c r="L29" s="107">
        <f t="shared" si="20"/>
        <v>5.297174329501916</v>
      </c>
      <c r="M29" s="121">
        <f t="shared" si="20"/>
        <v>5.226211957175507</v>
      </c>
      <c r="N29" s="121">
        <f t="shared" si="20"/>
        <v>5.154580613971476</v>
      </c>
      <c r="O29" s="121">
        <f t="shared" si="20"/>
        <v>5.009272816007807</v>
      </c>
      <c r="P29" s="121">
        <f t="shared" si="20"/>
        <v>4.710199004975124</v>
      </c>
      <c r="Q29" s="122">
        <f aca="true" t="shared" si="21" ref="Q29:AA29">((Q$25*$B$25)+(Q$26*$B$26))/100</f>
        <v>6.099773242630386</v>
      </c>
      <c r="R29" s="107">
        <f t="shared" si="21"/>
        <v>5.96081581886486</v>
      </c>
      <c r="S29" s="107">
        <f t="shared" si="21"/>
        <v>5.821858395099332</v>
      </c>
      <c r="T29" s="107">
        <f t="shared" si="21"/>
        <v>5.682900971333806</v>
      </c>
      <c r="U29" s="121">
        <f t="shared" si="21"/>
        <v>5.543943547568281</v>
      </c>
      <c r="V29" s="107">
        <f t="shared" si="21"/>
        <v>5.404986123802755</v>
      </c>
      <c r="W29" s="107">
        <f t="shared" si="21"/>
        <v>5.266028700037229</v>
      </c>
      <c r="X29" s="107">
        <f t="shared" si="21"/>
        <v>5.196549988154466</v>
      </c>
      <c r="Y29" s="121">
        <f t="shared" si="21"/>
        <v>5.1270712762717014</v>
      </c>
      <c r="Z29" s="121">
        <f t="shared" si="21"/>
        <v>4.988113852506176</v>
      </c>
      <c r="AA29" s="121">
        <f t="shared" si="21"/>
        <v>4.710199004975124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1:81" ht="16.5" thickBot="1">
      <c r="A30" s="24"/>
      <c r="B30" s="3"/>
      <c r="C30" s="3"/>
      <c r="D30" s="3"/>
      <c r="E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ht="16.5" thickTop="1">
      <c r="A31" s="131" t="s">
        <v>184</v>
      </c>
      <c r="B31" s="130" t="s">
        <v>164</v>
      </c>
      <c r="C31" s="131" t="s">
        <v>165</v>
      </c>
      <c r="D31" s="130" t="s">
        <v>166</v>
      </c>
      <c r="E31" s="130" t="s">
        <v>35</v>
      </c>
      <c r="F31" s="132" t="s">
        <v>167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4"/>
      <c r="Q31" s="135" t="s">
        <v>168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42"/>
      <c r="AC31" s="42"/>
      <c r="AD31" s="42"/>
      <c r="AE31" s="42"/>
      <c r="AF31" s="42"/>
      <c r="AG31" s="4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ht="15.75">
      <c r="A32" s="47" t="s">
        <v>169</v>
      </c>
      <c r="B32" s="116">
        <f>IF(E32=0,"",+D32/E32)</f>
        <v>4.710199004975124</v>
      </c>
      <c r="C32" s="117" t="s">
        <v>134</v>
      </c>
      <c r="D32" s="65">
        <v>3.787</v>
      </c>
      <c r="E32" s="65">
        <v>0.804</v>
      </c>
      <c r="F32" s="65">
        <v>100</v>
      </c>
      <c r="G32" s="65">
        <v>10</v>
      </c>
      <c r="H32" s="65">
        <v>20</v>
      </c>
      <c r="I32" s="65">
        <v>30</v>
      </c>
      <c r="J32" s="118">
        <v>40</v>
      </c>
      <c r="K32" s="65">
        <v>50</v>
      </c>
      <c r="L32" s="65">
        <v>60</v>
      </c>
      <c r="M32" s="118">
        <v>65</v>
      </c>
      <c r="N32" s="118">
        <v>70</v>
      </c>
      <c r="O32" s="118">
        <v>80</v>
      </c>
      <c r="P32" s="118">
        <v>100</v>
      </c>
      <c r="Q32" s="119">
        <v>100</v>
      </c>
      <c r="R32" s="65">
        <v>10</v>
      </c>
      <c r="S32" s="65">
        <v>20</v>
      </c>
      <c r="T32" s="65">
        <v>30</v>
      </c>
      <c r="U32" s="118">
        <v>40</v>
      </c>
      <c r="V32" s="65">
        <v>50</v>
      </c>
      <c r="W32" s="65">
        <v>60</v>
      </c>
      <c r="X32" s="65">
        <v>65</v>
      </c>
      <c r="Y32" s="118">
        <v>70</v>
      </c>
      <c r="Z32" s="118">
        <v>80</v>
      </c>
      <c r="AA32" s="118">
        <v>100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27" ht="15.75">
      <c r="A33" s="47" t="s">
        <v>170</v>
      </c>
      <c r="B33" s="62">
        <f>D33/E33</f>
        <v>6.099773242630385</v>
      </c>
      <c r="C33" s="66" t="s">
        <v>176</v>
      </c>
      <c r="D33" s="61">
        <v>5.38</v>
      </c>
      <c r="E33" s="61">
        <v>0.882</v>
      </c>
      <c r="F33" s="62">
        <v>0</v>
      </c>
      <c r="G33" s="62">
        <v>10</v>
      </c>
      <c r="H33" s="62">
        <v>40</v>
      </c>
      <c r="I33" s="12"/>
      <c r="J33" s="142"/>
      <c r="K33" s="62">
        <v>25</v>
      </c>
      <c r="L33" s="62">
        <v>20</v>
      </c>
      <c r="M33" s="142"/>
      <c r="N33" s="142"/>
      <c r="O33" s="142"/>
      <c r="P33" s="142"/>
      <c r="Q33" s="129">
        <v>0</v>
      </c>
      <c r="R33" s="12"/>
      <c r="S33" s="62">
        <v>40</v>
      </c>
      <c r="T33" s="12"/>
      <c r="U33" s="142"/>
      <c r="V33" s="62">
        <v>25</v>
      </c>
      <c r="W33" s="62">
        <v>20</v>
      </c>
      <c r="X33" s="12"/>
      <c r="Y33" s="142"/>
      <c r="Z33" s="142"/>
      <c r="AA33" s="128">
        <v>0</v>
      </c>
    </row>
    <row r="34" spans="1:81" ht="15.75">
      <c r="A34" s="47" t="s">
        <v>185</v>
      </c>
      <c r="B34" s="107">
        <f>D34/E34</f>
        <v>2.9050925925925926</v>
      </c>
      <c r="C34" s="120" t="s">
        <v>149</v>
      </c>
      <c r="D34" s="65">
        <v>2.51</v>
      </c>
      <c r="E34" s="64">
        <v>0.864</v>
      </c>
      <c r="F34" s="107">
        <f aca="true" t="shared" si="22" ref="F34:O34">100-F32-F33</f>
        <v>0</v>
      </c>
      <c r="G34" s="107">
        <f t="shared" si="22"/>
        <v>80</v>
      </c>
      <c r="H34" s="107">
        <f t="shared" si="22"/>
        <v>40</v>
      </c>
      <c r="I34" s="107">
        <f t="shared" si="22"/>
        <v>70</v>
      </c>
      <c r="J34" s="121">
        <f t="shared" si="22"/>
        <v>60</v>
      </c>
      <c r="K34" s="107">
        <f t="shared" si="22"/>
        <v>25</v>
      </c>
      <c r="L34" s="107">
        <f t="shared" si="22"/>
        <v>20</v>
      </c>
      <c r="M34" s="121">
        <f t="shared" si="22"/>
        <v>35</v>
      </c>
      <c r="N34" s="121">
        <f t="shared" si="22"/>
        <v>30</v>
      </c>
      <c r="O34" s="121">
        <f t="shared" si="22"/>
        <v>20</v>
      </c>
      <c r="P34" s="121">
        <f aca="true" t="shared" si="23" ref="P34:AA34">100-P32-P33</f>
        <v>0</v>
      </c>
      <c r="Q34" s="122">
        <f t="shared" si="23"/>
        <v>0</v>
      </c>
      <c r="R34" s="107">
        <f t="shared" si="23"/>
        <v>90</v>
      </c>
      <c r="S34" s="107">
        <f t="shared" si="23"/>
        <v>40</v>
      </c>
      <c r="T34" s="107">
        <f t="shared" si="23"/>
        <v>70</v>
      </c>
      <c r="U34" s="121">
        <f t="shared" si="23"/>
        <v>60</v>
      </c>
      <c r="V34" s="107">
        <f t="shared" si="23"/>
        <v>25</v>
      </c>
      <c r="W34" s="107">
        <f t="shared" si="23"/>
        <v>20</v>
      </c>
      <c r="X34" s="107">
        <f t="shared" si="23"/>
        <v>35</v>
      </c>
      <c r="Y34" s="121">
        <f t="shared" si="23"/>
        <v>30</v>
      </c>
      <c r="Z34" s="121">
        <f t="shared" si="23"/>
        <v>20</v>
      </c>
      <c r="AA34" s="121">
        <f t="shared" si="23"/>
        <v>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15.75">
      <c r="A35" s="123"/>
      <c r="B35" s="15"/>
      <c r="C35" s="56" t="s">
        <v>35</v>
      </c>
      <c r="D35" s="65"/>
      <c r="E35" s="124"/>
      <c r="F35" s="116">
        <f aca="true" t="shared" si="24" ref="F35:P35">((F$32*$E$32)+(F$33*$E$33)+(F$34*$E$34))/100</f>
        <v>0.804</v>
      </c>
      <c r="G35" s="116">
        <f t="shared" si="24"/>
        <v>0.8598</v>
      </c>
      <c r="H35" s="116">
        <f t="shared" si="24"/>
        <v>0.8592</v>
      </c>
      <c r="I35" s="116">
        <f t="shared" si="24"/>
        <v>0.846</v>
      </c>
      <c r="J35" s="125">
        <f t="shared" si="24"/>
        <v>0.84</v>
      </c>
      <c r="K35" s="116">
        <f t="shared" si="24"/>
        <v>0.8384999999999999</v>
      </c>
      <c r="L35" s="116">
        <f t="shared" si="24"/>
        <v>0.8316</v>
      </c>
      <c r="M35" s="125">
        <f t="shared" si="24"/>
        <v>0.825</v>
      </c>
      <c r="N35" s="125">
        <f t="shared" si="24"/>
        <v>0.8220000000000001</v>
      </c>
      <c r="O35" s="125">
        <f t="shared" si="24"/>
        <v>0.8160000000000001</v>
      </c>
      <c r="P35" s="125">
        <f t="shared" si="24"/>
        <v>0.804</v>
      </c>
      <c r="Q35" s="126">
        <f aca="true" t="shared" si="25" ref="Q35:AA35">1/((Q$32/$E$32)+(Q$33/$E$33)+(Q$34/$E$34))*100</f>
        <v>0.804</v>
      </c>
      <c r="R35" s="116">
        <f t="shared" si="25"/>
        <v>0.8576</v>
      </c>
      <c r="S35" s="116">
        <f t="shared" si="25"/>
        <v>0.8581967808302069</v>
      </c>
      <c r="T35" s="116">
        <f t="shared" si="25"/>
        <v>0.8450802919708029</v>
      </c>
      <c r="U35" s="125">
        <f t="shared" si="25"/>
        <v>0.8389565217391305</v>
      </c>
      <c r="V35" s="116">
        <f t="shared" si="25"/>
        <v>0.837037845813353</v>
      </c>
      <c r="W35" s="116">
        <f t="shared" si="25"/>
        <v>0.8302148334601651</v>
      </c>
      <c r="X35" s="116">
        <f t="shared" si="25"/>
        <v>0.8240284697508898</v>
      </c>
      <c r="Y35" s="125">
        <f t="shared" si="25"/>
        <v>0.8211063829787233</v>
      </c>
      <c r="Z35" s="125">
        <f t="shared" si="25"/>
        <v>0.8153239436619719</v>
      </c>
      <c r="AA35" s="125">
        <f t="shared" si="25"/>
        <v>0.804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5.75">
      <c r="A36" s="23"/>
      <c r="B36" s="127" t="s">
        <v>172</v>
      </c>
      <c r="C36" s="55" t="s">
        <v>173</v>
      </c>
      <c r="D36" s="61"/>
      <c r="E36" s="3"/>
      <c r="F36" s="62">
        <f aca="true" t="shared" si="26" ref="F36:P36">((F$32*$D$32)+(F$33*$D$33)+(F$34*$D34))/100</f>
        <v>3.787</v>
      </c>
      <c r="G36" s="62">
        <f t="shared" si="26"/>
        <v>2.9246999999999996</v>
      </c>
      <c r="H36" s="62">
        <f t="shared" si="26"/>
        <v>3.9133999999999998</v>
      </c>
      <c r="I36" s="62">
        <f t="shared" si="26"/>
        <v>2.8931</v>
      </c>
      <c r="J36" s="128">
        <f t="shared" si="26"/>
        <v>3.0208</v>
      </c>
      <c r="K36" s="62">
        <f t="shared" si="26"/>
        <v>3.866</v>
      </c>
      <c r="L36" s="62">
        <f t="shared" si="26"/>
        <v>3.8501999999999996</v>
      </c>
      <c r="M36" s="128">
        <f t="shared" si="26"/>
        <v>3.3400499999999997</v>
      </c>
      <c r="N36" s="128">
        <f t="shared" si="26"/>
        <v>3.4038999999999997</v>
      </c>
      <c r="O36" s="128">
        <f t="shared" si="26"/>
        <v>3.5315999999999996</v>
      </c>
      <c r="P36" s="128">
        <f t="shared" si="26"/>
        <v>3.787</v>
      </c>
      <c r="Q36" s="129">
        <f aca="true" t="shared" si="27" ref="Q36:AA36">IF(Q35=0,"",+Q37*Q35)</f>
        <v>3.7869999999999995</v>
      </c>
      <c r="R36" s="62">
        <f t="shared" si="27"/>
        <v>2.6462133333333333</v>
      </c>
      <c r="S36" s="62">
        <f t="shared" si="27"/>
        <v>3.899634273266368</v>
      </c>
      <c r="T36" s="62">
        <f t="shared" si="27"/>
        <v>2.9126744525547443</v>
      </c>
      <c r="U36" s="128">
        <f t="shared" si="27"/>
        <v>3.043008695652174</v>
      </c>
      <c r="V36" s="62">
        <f t="shared" si="27"/>
        <v>3.855660789376614</v>
      </c>
      <c r="W36" s="62">
        <f t="shared" si="27"/>
        <v>3.84148088743195</v>
      </c>
      <c r="X36" s="62">
        <f t="shared" si="27"/>
        <v>3.3607274021352316</v>
      </c>
      <c r="Y36" s="128">
        <f t="shared" si="27"/>
        <v>3.422919148936169</v>
      </c>
      <c r="Z36" s="128">
        <f t="shared" si="27"/>
        <v>3.545988732394366</v>
      </c>
      <c r="AA36" s="128">
        <f t="shared" si="27"/>
        <v>3.7869999999999995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ht="15.75">
      <c r="A37" s="25"/>
      <c r="B37" s="18"/>
      <c r="C37" s="58" t="s">
        <v>174</v>
      </c>
      <c r="D37" s="64"/>
      <c r="E37" s="70"/>
      <c r="F37" s="107">
        <f aca="true" t="shared" si="28" ref="F37:P37">IF(F35=0,"",+F36/F35)</f>
        <v>4.710199004975124</v>
      </c>
      <c r="G37" s="107">
        <f t="shared" si="28"/>
        <v>3.4016050244242844</v>
      </c>
      <c r="H37" s="107">
        <f t="shared" si="28"/>
        <v>4.554702048417132</v>
      </c>
      <c r="I37" s="107">
        <f t="shared" si="28"/>
        <v>3.4197399527186763</v>
      </c>
      <c r="J37" s="121">
        <f t="shared" si="28"/>
        <v>3.5961904761904764</v>
      </c>
      <c r="K37" s="107">
        <f t="shared" si="28"/>
        <v>4.610614192009542</v>
      </c>
      <c r="L37" s="107">
        <f t="shared" si="28"/>
        <v>4.629870129870129</v>
      </c>
      <c r="M37" s="121">
        <f t="shared" si="28"/>
        <v>4.0485454545454544</v>
      </c>
      <c r="N37" s="121">
        <f t="shared" si="28"/>
        <v>4.140997566909975</v>
      </c>
      <c r="O37" s="121">
        <f t="shared" si="28"/>
        <v>4.3279411764705875</v>
      </c>
      <c r="P37" s="121">
        <f t="shared" si="28"/>
        <v>4.710199004975124</v>
      </c>
      <c r="Q37" s="122">
        <f aca="true" t="shared" si="29" ref="Q37:AA37">((Q$32*$B$32)+(Q$33*$B$33)+(Q$34*$B$34))/100</f>
        <v>4.710199004975124</v>
      </c>
      <c r="R37" s="107">
        <f t="shared" si="29"/>
        <v>3.0856032338308457</v>
      </c>
      <c r="S37" s="107">
        <f t="shared" si="29"/>
        <v>4.543986135084216</v>
      </c>
      <c r="T37" s="107">
        <f t="shared" si="29"/>
        <v>3.446624516307352</v>
      </c>
      <c r="U37" s="121">
        <f t="shared" si="29"/>
        <v>3.627135157545605</v>
      </c>
      <c r="V37" s="107">
        <f t="shared" si="29"/>
        <v>4.606315961293307</v>
      </c>
      <c r="W37" s="107">
        <f t="shared" si="29"/>
        <v>4.62709257002967</v>
      </c>
      <c r="X37" s="107">
        <f t="shared" si="29"/>
        <v>4.078411760641238</v>
      </c>
      <c r="Y37" s="121">
        <f t="shared" si="29"/>
        <v>4.168667081260364</v>
      </c>
      <c r="Z37" s="121">
        <f t="shared" si="29"/>
        <v>4.3491777224986174</v>
      </c>
      <c r="AA37" s="121">
        <f t="shared" si="29"/>
        <v>4.710199004975124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1:8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ht="15.75">
      <c r="A39" s="3"/>
      <c r="B39" s="3"/>
      <c r="C39" s="3"/>
      <c r="D39" s="3"/>
      <c r="E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53" ht="9.75" customHeight="1">
      <c r="A53" s="1"/>
    </row>
    <row r="479" ht="15.75">
      <c r="B479">
        <v>1</v>
      </c>
    </row>
  </sheetData>
  <printOptions/>
  <pageMargins left="0" right="0" top="0" bottom="0" header="0.5118110236220472" footer="0.5118110236220472"/>
  <pageSetup fitToWidth="2" horizontalDpi="300" verticalDpi="300" orientation="landscape" pageOrder="overThenDown" paperSize="9" scale="70" r:id="rId1"/>
  <headerFooter alignWithMargins="0">
    <oddHeader>&amp;C&amp;RPage &amp;P</oddHeader>
  </headerFooter>
  <colBreaks count="1" manualBreakCount="1">
    <brk id="16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54"/>
  <sheetViews>
    <sheetView showGridLines="0" zoomScale="75" zoomScaleNormal="75" workbookViewId="0" topLeftCell="A64">
      <selection activeCell="F8" sqref="F8"/>
    </sheetView>
  </sheetViews>
  <sheetFormatPr defaultColWidth="9.77734375" defaultRowHeight="15.75"/>
  <cols>
    <col min="1" max="1" width="2.77734375" style="0" customWidth="1"/>
    <col min="2" max="2" width="23.77734375" style="0" customWidth="1"/>
    <col min="3" max="8" width="8.77734375" style="0" customWidth="1"/>
    <col min="10" max="18" width="8.77734375" style="0" customWidth="1"/>
    <col min="23" max="23" width="8.77734375" style="0" customWidth="1"/>
    <col min="32" max="32" width="8.77734375" style="0" customWidth="1"/>
    <col min="33" max="33" width="9.77734375" style="0" customWidth="1"/>
    <col min="34" max="34" width="8.77734375" style="0" customWidth="1"/>
    <col min="37" max="37" width="12.77734375" style="0" customWidth="1"/>
    <col min="38" max="38" width="10.77734375" style="0" customWidth="1"/>
    <col min="40" max="40" width="13.77734375" style="0" customWidth="1"/>
    <col min="41" max="46" width="9.77734375" style="0" customWidth="1"/>
    <col min="54" max="54" width="11.77734375" style="0" customWidth="1"/>
  </cols>
  <sheetData>
    <row r="1" spans="1:42" ht="19.5">
      <c r="A1" s="35" t="s">
        <v>186</v>
      </c>
      <c r="D1" s="149" t="s">
        <v>187</v>
      </c>
      <c r="T1" s="1" t="s">
        <v>188</v>
      </c>
      <c r="AI1" s="3"/>
      <c r="AJ1" s="3"/>
      <c r="AK1" s="108"/>
      <c r="AN1" s="118">
        <v>4</v>
      </c>
      <c r="AO1" s="65">
        <v>4</v>
      </c>
      <c r="AP1" s="150" t="s">
        <v>189</v>
      </c>
    </row>
    <row r="2" spans="2:42" ht="19.5">
      <c r="B2" s="109" t="s">
        <v>1</v>
      </c>
      <c r="C2" s="112" t="s">
        <v>190</v>
      </c>
      <c r="D2" s="151"/>
      <c r="E2" s="152"/>
      <c r="F2" s="152"/>
      <c r="G2" s="152"/>
      <c r="H2" s="152"/>
      <c r="I2" s="153"/>
      <c r="AB2" s="112" t="s">
        <v>191</v>
      </c>
      <c r="AC2" s="152"/>
      <c r="AD2" s="152"/>
      <c r="AE2" s="152"/>
      <c r="AF2" s="152"/>
      <c r="AG2" s="152"/>
      <c r="AH2" s="153"/>
      <c r="AI2" s="108"/>
      <c r="AJ2" s="3"/>
      <c r="AK2" s="3"/>
      <c r="AN2" s="141">
        <v>7.578</v>
      </c>
      <c r="AO2" s="61">
        <v>5.77</v>
      </c>
      <c r="AP2" s="63" t="s">
        <v>192</v>
      </c>
    </row>
    <row r="3" spans="2:42" ht="15.75">
      <c r="B3" s="2">
        <f ca="1">TRUNC(NOW())</f>
        <v>42721</v>
      </c>
      <c r="C3" s="112" t="s">
        <v>193</v>
      </c>
      <c r="D3" s="152"/>
      <c r="E3" s="112" t="s">
        <v>194</v>
      </c>
      <c r="F3" s="114"/>
      <c r="G3" s="112" t="s">
        <v>195</v>
      </c>
      <c r="H3" s="114"/>
      <c r="I3" s="154" t="s">
        <v>196</v>
      </c>
      <c r="J3" s="112" t="s">
        <v>197</v>
      </c>
      <c r="K3" s="153"/>
      <c r="Y3" s="155"/>
      <c r="Z3" s="156"/>
      <c r="AA3" s="156"/>
      <c r="AB3" s="112" t="s">
        <v>198</v>
      </c>
      <c r="AC3" s="153"/>
      <c r="AD3" s="112" t="s">
        <v>194</v>
      </c>
      <c r="AE3" s="153"/>
      <c r="AF3" s="112" t="s">
        <v>199</v>
      </c>
      <c r="AG3" s="153"/>
      <c r="AH3" s="154" t="s">
        <v>200</v>
      </c>
      <c r="AI3" s="112" t="s">
        <v>201</v>
      </c>
      <c r="AJ3" s="153"/>
      <c r="AN3" s="141">
        <v>8.374</v>
      </c>
      <c r="AO3" s="64">
        <v>5.631</v>
      </c>
      <c r="AP3" s="67" t="s">
        <v>202</v>
      </c>
    </row>
    <row r="4" spans="2:52" ht="15.75">
      <c r="B4" s="1" t="s">
        <v>3</v>
      </c>
      <c r="C4" s="157">
        <v>10.39</v>
      </c>
      <c r="D4" s="158" t="s">
        <v>203</v>
      </c>
      <c r="E4" s="159"/>
      <c r="F4" s="160">
        <v>4.849</v>
      </c>
      <c r="G4" s="157"/>
      <c r="H4" s="160">
        <v>4.024</v>
      </c>
      <c r="I4" s="161">
        <v>1.496</v>
      </c>
      <c r="J4" s="157">
        <v>20.161</v>
      </c>
      <c r="K4" s="162" t="s">
        <v>99</v>
      </c>
      <c r="L4" s="163" t="s">
        <v>204</v>
      </c>
      <c r="M4" s="164"/>
      <c r="N4" s="165"/>
      <c r="O4" s="166"/>
      <c r="P4" s="166"/>
      <c r="Q4" s="167" t="s">
        <v>205</v>
      </c>
      <c r="R4" s="167" t="s">
        <v>8</v>
      </c>
      <c r="S4" s="168"/>
      <c r="T4" s="6"/>
      <c r="U4" s="6"/>
      <c r="V4" s="6"/>
      <c r="W4" s="169"/>
      <c r="X4" s="6"/>
      <c r="Y4" s="170"/>
      <c r="Z4" s="170"/>
      <c r="AA4" s="170"/>
      <c r="AB4" s="157">
        <v>5.631</v>
      </c>
      <c r="AC4" s="162" t="s">
        <v>99</v>
      </c>
      <c r="AD4" s="171"/>
      <c r="AE4" s="160">
        <v>0.089</v>
      </c>
      <c r="AF4" s="171"/>
      <c r="AG4" s="172">
        <v>4.024</v>
      </c>
      <c r="AH4" s="161">
        <v>0.675</v>
      </c>
      <c r="AI4" s="157">
        <v>15.401</v>
      </c>
      <c r="AJ4" s="162" t="s">
        <v>99</v>
      </c>
      <c r="AK4" s="173" t="s">
        <v>204</v>
      </c>
      <c r="AL4" s="6"/>
      <c r="AM4" s="6"/>
      <c r="AN4" s="174">
        <f>SUM(AN1:AN3)</f>
        <v>19.951999999999998</v>
      </c>
      <c r="AO4" s="171">
        <f>SUM(AO1:AO3)</f>
        <v>15.401</v>
      </c>
      <c r="AP4" s="162" t="s">
        <v>206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5.75">
      <c r="A5" s="175" t="s">
        <v>207</v>
      </c>
      <c r="B5" s="3"/>
      <c r="C5" s="176">
        <v>13.134</v>
      </c>
      <c r="D5" s="177" t="s">
        <v>203</v>
      </c>
      <c r="E5" s="178"/>
      <c r="F5" s="21"/>
      <c r="G5" s="179"/>
      <c r="H5" s="21"/>
      <c r="I5" s="180"/>
      <c r="J5" s="176">
        <v>24.712</v>
      </c>
      <c r="K5" s="181" t="s">
        <v>99</v>
      </c>
      <c r="L5" s="53" t="s">
        <v>208</v>
      </c>
      <c r="M5" s="18"/>
      <c r="N5" s="182" t="s">
        <v>209</v>
      </c>
      <c r="O5" s="183"/>
      <c r="P5" s="183"/>
      <c r="Q5" s="70">
        <v>0</v>
      </c>
      <c r="R5" s="70">
        <v>0</v>
      </c>
      <c r="S5" s="184" t="s">
        <v>164</v>
      </c>
      <c r="W5" s="3"/>
      <c r="Y5" s="24"/>
      <c r="Z5" s="24"/>
      <c r="AA5" s="24"/>
      <c r="AB5" s="176">
        <v>8.374</v>
      </c>
      <c r="AC5" s="181" t="s">
        <v>99</v>
      </c>
      <c r="AD5" s="185"/>
      <c r="AE5" s="186"/>
      <c r="AF5" s="185"/>
      <c r="AG5" s="187"/>
      <c r="AH5" s="180"/>
      <c r="AI5" s="176">
        <v>19.952</v>
      </c>
      <c r="AJ5" s="181" t="s">
        <v>99</v>
      </c>
      <c r="AK5" s="35" t="s">
        <v>210</v>
      </c>
      <c r="AN5" s="188" t="s">
        <v>211</v>
      </c>
      <c r="AO5" s="189" t="s">
        <v>212</v>
      </c>
      <c r="AP5" s="190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7" ht="15.75">
      <c r="A6" s="111" t="s">
        <v>213</v>
      </c>
      <c r="B6" s="191"/>
      <c r="C6" s="191"/>
      <c r="D6" s="191"/>
      <c r="E6" s="177" t="s">
        <v>214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93"/>
      <c r="R6" s="193"/>
      <c r="S6" s="193"/>
      <c r="T6" s="191"/>
      <c r="U6" s="191"/>
      <c r="V6" s="191"/>
      <c r="W6" s="193"/>
      <c r="X6" s="191"/>
      <c r="Y6" s="191"/>
      <c r="Z6" s="192"/>
      <c r="AA6" s="191"/>
      <c r="AB6" s="191"/>
      <c r="AC6" s="191"/>
      <c r="AD6" s="191"/>
      <c r="AE6" s="191"/>
      <c r="AF6" s="193"/>
      <c r="AG6" s="193"/>
      <c r="AH6" s="194"/>
      <c r="AI6" s="195" t="s">
        <v>146</v>
      </c>
      <c r="AJ6" s="114"/>
      <c r="AN6" s="12"/>
      <c r="AO6" s="196" t="str">
        <f>B126</f>
        <v>Appret Blanc 1</v>
      </c>
      <c r="AP6" s="114"/>
      <c r="AQ6" s="197" t="str">
        <f>B127</f>
        <v>Appret gris clair 2</v>
      </c>
      <c r="AR6" s="114"/>
      <c r="AS6" s="197" t="str">
        <f>B128</f>
        <v>Appret gris moyen 3</v>
      </c>
      <c r="AT6" s="114"/>
      <c r="AU6" s="197" t="str">
        <f>B129</f>
        <v>Appret gris foncé 4</v>
      </c>
      <c r="AV6" s="114"/>
      <c r="AW6" s="155"/>
      <c r="AX6" s="155"/>
      <c r="AY6" s="155"/>
      <c r="AZ6" s="155"/>
      <c r="BA6" s="156"/>
      <c r="BB6" s="156"/>
      <c r="BC6" s="156"/>
      <c r="BD6" s="156"/>
      <c r="BE6" s="156"/>
    </row>
    <row r="7" spans="1:52" ht="15.75">
      <c r="A7" s="12"/>
      <c r="B7" s="54" t="s">
        <v>215</v>
      </c>
      <c r="C7" s="198" t="s">
        <v>216</v>
      </c>
      <c r="D7" s="124"/>
      <c r="E7" s="198" t="s">
        <v>217</v>
      </c>
      <c r="F7" s="124"/>
      <c r="G7" s="198" t="s">
        <v>218</v>
      </c>
      <c r="H7" s="124"/>
      <c r="I7" s="198" t="s">
        <v>219</v>
      </c>
      <c r="J7" s="124"/>
      <c r="K7" s="198" t="s">
        <v>220</v>
      </c>
      <c r="L7" s="124"/>
      <c r="M7" s="198" t="s">
        <v>221</v>
      </c>
      <c r="N7" s="124"/>
      <c r="O7" s="198" t="s">
        <v>222</v>
      </c>
      <c r="P7" s="124"/>
      <c r="Q7" s="198" t="s">
        <v>223</v>
      </c>
      <c r="R7" s="124"/>
      <c r="S7" s="198" t="s">
        <v>224</v>
      </c>
      <c r="T7" s="199"/>
      <c r="U7" s="82" t="s">
        <v>225</v>
      </c>
      <c r="V7" s="124"/>
      <c r="W7" s="198" t="s">
        <v>226</v>
      </c>
      <c r="X7" s="200"/>
      <c r="Y7" s="198" t="s">
        <v>227</v>
      </c>
      <c r="Z7" s="200"/>
      <c r="AA7" s="201"/>
      <c r="AB7" s="200"/>
      <c r="AC7" s="198" t="s">
        <v>228</v>
      </c>
      <c r="AD7" s="30"/>
      <c r="AE7" s="82" t="s">
        <v>229</v>
      </c>
      <c r="AF7" s="124"/>
      <c r="AG7" s="65"/>
      <c r="AH7" s="124"/>
      <c r="AI7" s="118"/>
      <c r="AJ7" s="30"/>
      <c r="AK7" s="156"/>
      <c r="AL7" s="156"/>
      <c r="AM7" s="156"/>
      <c r="AN7" s="202"/>
      <c r="AO7" s="201"/>
      <c r="AP7" s="30"/>
      <c r="AQ7" s="200"/>
      <c r="AR7" s="30"/>
      <c r="AS7" s="200"/>
      <c r="AT7" s="30"/>
      <c r="AU7" s="200"/>
      <c r="AV7" s="30"/>
      <c r="AW7" s="156"/>
      <c r="AX7" s="156"/>
      <c r="AY7" s="156"/>
      <c r="AZ7" s="156"/>
    </row>
    <row r="8" spans="1:52" ht="15.75">
      <c r="A8" s="12"/>
      <c r="B8" s="1" t="s">
        <v>230</v>
      </c>
      <c r="C8" s="203" t="s">
        <v>231</v>
      </c>
      <c r="D8" s="156"/>
      <c r="E8" s="203" t="s">
        <v>232</v>
      </c>
      <c r="F8" s="156"/>
      <c r="G8" s="203" t="s">
        <v>232</v>
      </c>
      <c r="H8" s="156"/>
      <c r="I8" s="203" t="s">
        <v>233</v>
      </c>
      <c r="J8" s="156"/>
      <c r="K8" s="203" t="s">
        <v>234</v>
      </c>
      <c r="L8" s="156"/>
      <c r="M8" s="203" t="s">
        <v>234</v>
      </c>
      <c r="N8" s="156"/>
      <c r="O8" s="203" t="s">
        <v>234</v>
      </c>
      <c r="P8" s="156"/>
      <c r="Q8" s="203" t="s">
        <v>234</v>
      </c>
      <c r="R8" s="156"/>
      <c r="S8" s="203" t="s">
        <v>233</v>
      </c>
      <c r="T8" s="204"/>
      <c r="U8" s="205" t="s">
        <v>235</v>
      </c>
      <c r="V8" s="156"/>
      <c r="W8" s="203" t="s">
        <v>235</v>
      </c>
      <c r="X8" s="156"/>
      <c r="Y8" s="203" t="s">
        <v>234</v>
      </c>
      <c r="Z8" s="156"/>
      <c r="AA8" s="203" t="s">
        <v>234</v>
      </c>
      <c r="AB8" s="156"/>
      <c r="AC8" s="203" t="s">
        <v>234</v>
      </c>
      <c r="AD8" s="204"/>
      <c r="AE8" s="205" t="s">
        <v>235</v>
      </c>
      <c r="AF8" s="156"/>
      <c r="AG8" s="203" t="s">
        <v>234</v>
      </c>
      <c r="AH8" s="156"/>
      <c r="AI8" s="206"/>
      <c r="AJ8" s="204"/>
      <c r="AK8" s="156"/>
      <c r="AL8" s="156"/>
      <c r="AM8" s="156"/>
      <c r="AN8" s="202"/>
      <c r="AO8" s="202"/>
      <c r="AP8" s="204"/>
      <c r="AQ8" s="156"/>
      <c r="AR8" s="204"/>
      <c r="AS8" s="156"/>
      <c r="AT8" s="204"/>
      <c r="AU8" s="156"/>
      <c r="AV8" s="204"/>
      <c r="AW8" s="156"/>
      <c r="AX8" s="156"/>
      <c r="AY8" s="156"/>
      <c r="AZ8" s="156"/>
    </row>
    <row r="9" spans="1:52" ht="15.75">
      <c r="A9" s="12"/>
      <c r="B9" s="18"/>
      <c r="C9" s="11"/>
      <c r="D9" s="207"/>
      <c r="E9" s="11"/>
      <c r="F9" s="207"/>
      <c r="G9" s="11"/>
      <c r="H9" s="207"/>
      <c r="I9" s="11"/>
      <c r="J9" s="207"/>
      <c r="K9" s="11"/>
      <c r="L9" s="207"/>
      <c r="M9" s="11"/>
      <c r="N9" s="207"/>
      <c r="O9" s="11"/>
      <c r="P9" s="207"/>
      <c r="Q9" s="11"/>
      <c r="R9" s="207"/>
      <c r="S9" s="208"/>
      <c r="T9" s="29"/>
      <c r="U9" s="209"/>
      <c r="V9" s="209"/>
      <c r="W9" s="11"/>
      <c r="X9" s="209"/>
      <c r="Y9" s="208"/>
      <c r="Z9" s="209"/>
      <c r="AA9" s="208"/>
      <c r="AB9" s="209"/>
      <c r="AC9" s="208"/>
      <c r="AD9" s="29"/>
      <c r="AE9" s="209"/>
      <c r="AF9" s="207"/>
      <c r="AG9" s="11"/>
      <c r="AH9" s="207"/>
      <c r="AI9" s="100"/>
      <c r="AJ9" s="210"/>
      <c r="AK9" s="4"/>
      <c r="AL9" s="4"/>
      <c r="AM9" s="4"/>
      <c r="AN9" s="202"/>
      <c r="AO9" s="107">
        <f>AI126</f>
        <v>12</v>
      </c>
      <c r="AP9" s="29"/>
      <c r="AQ9" s="73">
        <f>AI127</f>
        <v>20</v>
      </c>
      <c r="AR9" s="29"/>
      <c r="AS9" s="73">
        <f>AI128</f>
        <v>0</v>
      </c>
      <c r="AT9" s="29"/>
      <c r="AU9" s="73">
        <f>AI129</f>
        <v>68</v>
      </c>
      <c r="AV9" s="29"/>
      <c r="AW9" s="35" t="s">
        <v>236</v>
      </c>
      <c r="AX9" s="156"/>
      <c r="AY9" s="156"/>
      <c r="AZ9" s="156"/>
    </row>
    <row r="10" spans="1:48" ht="15.75">
      <c r="A10" s="12"/>
      <c r="C10" s="141"/>
      <c r="D10" s="3"/>
      <c r="E10" s="141"/>
      <c r="F10" s="3"/>
      <c r="G10" s="141"/>
      <c r="H10" s="3"/>
      <c r="I10" s="141"/>
      <c r="J10" s="3"/>
      <c r="K10" s="141"/>
      <c r="L10" s="3"/>
      <c r="M10" s="141"/>
      <c r="N10" s="3"/>
      <c r="O10" s="141"/>
      <c r="P10" s="3"/>
      <c r="Q10" s="141"/>
      <c r="R10" s="3"/>
      <c r="S10" s="141"/>
      <c r="T10" s="211"/>
      <c r="U10" s="212"/>
      <c r="V10" s="212"/>
      <c r="W10" s="141"/>
      <c r="Y10" s="142"/>
      <c r="AA10" s="142"/>
      <c r="AC10" s="142"/>
      <c r="AD10" s="13"/>
      <c r="AF10" s="61"/>
      <c r="AG10" s="141"/>
      <c r="AH10" s="3"/>
      <c r="AI10" s="213" t="s">
        <v>237</v>
      </c>
      <c r="AJ10" s="13"/>
      <c r="AN10" s="12"/>
      <c r="AO10" s="142"/>
      <c r="AP10" s="13"/>
      <c r="AQ10" s="13"/>
      <c r="AR10" s="13"/>
      <c r="AS10" s="13"/>
      <c r="AT10" s="13"/>
      <c r="AU10" s="13"/>
      <c r="AV10" s="13"/>
    </row>
    <row r="11" spans="1:52" ht="15.75">
      <c r="A11" s="12"/>
      <c r="B11" s="1" t="s">
        <v>238</v>
      </c>
      <c r="C11" s="213" t="s">
        <v>205</v>
      </c>
      <c r="D11" s="214" t="s">
        <v>8</v>
      </c>
      <c r="E11" s="213" t="s">
        <v>205</v>
      </c>
      <c r="F11" s="214" t="s">
        <v>8</v>
      </c>
      <c r="G11" s="213" t="s">
        <v>205</v>
      </c>
      <c r="H11" s="214" t="s">
        <v>8</v>
      </c>
      <c r="I11" s="215" t="s">
        <v>205</v>
      </c>
      <c r="J11" s="213" t="s">
        <v>8</v>
      </c>
      <c r="K11" s="214" t="s">
        <v>205</v>
      </c>
      <c r="L11" s="213" t="s">
        <v>8</v>
      </c>
      <c r="M11" s="214" t="s">
        <v>205</v>
      </c>
      <c r="N11" s="213" t="s">
        <v>8</v>
      </c>
      <c r="O11" s="214" t="s">
        <v>8</v>
      </c>
      <c r="P11" s="213" t="s">
        <v>205</v>
      </c>
      <c r="Q11" s="214" t="s">
        <v>8</v>
      </c>
      <c r="R11" s="213" t="s">
        <v>205</v>
      </c>
      <c r="S11" s="213" t="s">
        <v>205</v>
      </c>
      <c r="T11" s="216" t="s">
        <v>8</v>
      </c>
      <c r="U11" s="213" t="s">
        <v>205</v>
      </c>
      <c r="V11" s="213" t="s">
        <v>8</v>
      </c>
      <c r="W11" s="215" t="s">
        <v>205</v>
      </c>
      <c r="X11" s="213" t="s">
        <v>8</v>
      </c>
      <c r="Y11" s="214" t="s">
        <v>205</v>
      </c>
      <c r="Z11" s="213" t="s">
        <v>8</v>
      </c>
      <c r="AA11" s="214" t="s">
        <v>205</v>
      </c>
      <c r="AB11" s="213" t="s">
        <v>8</v>
      </c>
      <c r="AC11" s="213" t="s">
        <v>8</v>
      </c>
      <c r="AD11" s="216" t="s">
        <v>205</v>
      </c>
      <c r="AE11" s="214" t="s">
        <v>205</v>
      </c>
      <c r="AF11" s="213" t="s">
        <v>8</v>
      </c>
      <c r="AG11" s="214" t="s">
        <v>205</v>
      </c>
      <c r="AH11" s="213" t="s">
        <v>8</v>
      </c>
      <c r="AI11" s="3"/>
      <c r="AJ11" s="213" t="s">
        <v>8</v>
      </c>
      <c r="AN11" s="12"/>
      <c r="AO11" s="215" t="s">
        <v>205</v>
      </c>
      <c r="AP11" s="213" t="s">
        <v>8</v>
      </c>
      <c r="AQ11" s="214" t="s">
        <v>205</v>
      </c>
      <c r="AR11" s="213" t="s">
        <v>8</v>
      </c>
      <c r="AS11" s="214" t="s">
        <v>205</v>
      </c>
      <c r="AT11" s="213" t="s">
        <v>8</v>
      </c>
      <c r="AU11" s="214" t="s">
        <v>205</v>
      </c>
      <c r="AV11" s="213" t="s">
        <v>8</v>
      </c>
      <c r="AW11" s="3"/>
      <c r="AX11" s="3"/>
      <c r="AY11" s="3"/>
      <c r="AZ11" s="3"/>
    </row>
    <row r="12" spans="1:49" ht="15.75">
      <c r="A12" s="12"/>
      <c r="B12" s="1" t="s">
        <v>239</v>
      </c>
      <c r="C12" s="141"/>
      <c r="D12" s="3"/>
      <c r="E12" s="141"/>
      <c r="F12" s="3"/>
      <c r="G12" s="141"/>
      <c r="H12" s="3"/>
      <c r="I12" s="61"/>
      <c r="J12" s="141"/>
      <c r="K12" s="3"/>
      <c r="L12" s="141"/>
      <c r="M12" s="3"/>
      <c r="N12" s="141"/>
      <c r="O12" s="3"/>
      <c r="P12" s="141"/>
      <c r="Q12" s="3"/>
      <c r="R12" s="141"/>
      <c r="S12" s="141"/>
      <c r="T12" s="211"/>
      <c r="U12" s="141"/>
      <c r="V12" s="141"/>
      <c r="W12" s="61"/>
      <c r="X12" s="142"/>
      <c r="Z12" s="142"/>
      <c r="AB12" s="142"/>
      <c r="AC12" s="142"/>
      <c r="AD12" s="13"/>
      <c r="AF12" s="141"/>
      <c r="AG12" s="3"/>
      <c r="AH12" s="141"/>
      <c r="AI12" s="175" t="s">
        <v>240</v>
      </c>
      <c r="AJ12" s="217" t="s">
        <v>241</v>
      </c>
      <c r="AN12" s="12"/>
      <c r="AO12" s="66" t="s">
        <v>242</v>
      </c>
      <c r="AP12" s="217" t="s">
        <v>243</v>
      </c>
      <c r="AQ12" s="175" t="s">
        <v>244</v>
      </c>
      <c r="AR12" s="217" t="s">
        <v>245</v>
      </c>
      <c r="AS12" s="3"/>
      <c r="AT12" s="141"/>
      <c r="AU12" s="175" t="s">
        <v>246</v>
      </c>
      <c r="AV12" s="217" t="s">
        <v>247</v>
      </c>
      <c r="AW12" s="3"/>
    </row>
    <row r="13" spans="1:48" ht="15.75">
      <c r="A13" s="12"/>
      <c r="B13" s="1" t="s">
        <v>248</v>
      </c>
      <c r="C13" s="91">
        <v>1</v>
      </c>
      <c r="D13" s="10">
        <v>1</v>
      </c>
      <c r="E13" s="91">
        <v>2</v>
      </c>
      <c r="F13" s="10">
        <v>2</v>
      </c>
      <c r="G13" s="91">
        <v>4</v>
      </c>
      <c r="H13" s="10">
        <v>4</v>
      </c>
      <c r="I13" s="90">
        <v>2</v>
      </c>
      <c r="J13" s="91">
        <v>2</v>
      </c>
      <c r="K13" s="10">
        <v>4</v>
      </c>
      <c r="L13" s="91">
        <v>4</v>
      </c>
      <c r="M13" s="10">
        <v>2</v>
      </c>
      <c r="N13" s="91">
        <v>2</v>
      </c>
      <c r="O13" s="10">
        <v>4</v>
      </c>
      <c r="P13" s="91">
        <v>4</v>
      </c>
      <c r="Q13" s="10">
        <v>4</v>
      </c>
      <c r="R13" s="91">
        <v>4</v>
      </c>
      <c r="S13" s="91">
        <v>4</v>
      </c>
      <c r="T13" s="218">
        <v>4</v>
      </c>
      <c r="U13" s="91">
        <v>4</v>
      </c>
      <c r="V13" s="91">
        <v>4</v>
      </c>
      <c r="W13" s="90">
        <v>4</v>
      </c>
      <c r="X13" s="91">
        <v>4</v>
      </c>
      <c r="Y13" s="10">
        <v>2</v>
      </c>
      <c r="Z13" s="91">
        <v>2</v>
      </c>
      <c r="AA13" s="10"/>
      <c r="AB13" s="91"/>
      <c r="AC13" s="91">
        <v>4</v>
      </c>
      <c r="AD13" s="218">
        <v>4</v>
      </c>
      <c r="AE13" s="10">
        <v>4</v>
      </c>
      <c r="AF13" s="91">
        <v>4</v>
      </c>
      <c r="AG13" s="10"/>
      <c r="AH13" s="91"/>
      <c r="AJ13" s="142"/>
      <c r="AN13" s="12"/>
      <c r="AO13" s="12"/>
      <c r="AP13" s="142"/>
      <c r="AR13" s="142"/>
      <c r="AT13" s="142"/>
      <c r="AV13" s="142"/>
    </row>
    <row r="14" spans="1:52" ht="15.75">
      <c r="A14" s="12"/>
      <c r="B14" s="57" t="s">
        <v>249</v>
      </c>
      <c r="C14" s="219"/>
      <c r="D14" s="220"/>
      <c r="E14" s="219"/>
      <c r="F14" s="220"/>
      <c r="G14" s="219">
        <v>3</v>
      </c>
      <c r="H14" s="220">
        <v>3</v>
      </c>
      <c r="I14" s="221"/>
      <c r="J14" s="219"/>
      <c r="K14" s="220">
        <v>3</v>
      </c>
      <c r="L14" s="219">
        <v>3</v>
      </c>
      <c r="M14" s="220"/>
      <c r="N14" s="219"/>
      <c r="O14" s="220"/>
      <c r="P14" s="219"/>
      <c r="Q14" s="220"/>
      <c r="R14" s="219"/>
      <c r="S14" s="219"/>
      <c r="T14" s="222"/>
      <c r="U14" s="219"/>
      <c r="V14" s="219"/>
      <c r="W14" s="221">
        <v>3</v>
      </c>
      <c r="X14" s="219">
        <v>3</v>
      </c>
      <c r="Y14" s="220"/>
      <c r="Z14" s="219"/>
      <c r="AA14" s="220"/>
      <c r="AB14" s="219"/>
      <c r="AC14" s="219"/>
      <c r="AD14" s="222"/>
      <c r="AE14" s="220"/>
      <c r="AF14" s="219"/>
      <c r="AG14" s="220"/>
      <c r="AH14" s="219"/>
      <c r="AI14" s="223">
        <v>38.5</v>
      </c>
      <c r="AJ14" s="224">
        <f>100-AI14</f>
        <v>61.5</v>
      </c>
      <c r="AK14" s="225" t="s">
        <v>250</v>
      </c>
      <c r="AL14" s="226"/>
      <c r="AM14" s="227"/>
      <c r="AN14" s="12"/>
      <c r="AO14" s="228">
        <v>50</v>
      </c>
      <c r="AP14" s="229">
        <v>50</v>
      </c>
      <c r="AQ14" s="230">
        <v>50</v>
      </c>
      <c r="AR14" s="229">
        <v>50</v>
      </c>
      <c r="AS14" s="230">
        <v>50</v>
      </c>
      <c r="AT14" s="229">
        <v>50</v>
      </c>
      <c r="AU14" s="230">
        <v>50</v>
      </c>
      <c r="AV14" s="229">
        <v>50</v>
      </c>
      <c r="AW14" s="225" t="s">
        <v>251</v>
      </c>
      <c r="AX14" s="226"/>
      <c r="AY14" s="226"/>
      <c r="AZ14" s="227"/>
    </row>
    <row r="15" spans="1:48" ht="15.75">
      <c r="A15" s="59" t="s">
        <v>16</v>
      </c>
      <c r="C15" s="118"/>
      <c r="D15" s="124"/>
      <c r="E15" s="118"/>
      <c r="F15" s="124"/>
      <c r="G15" s="118"/>
      <c r="H15" s="124"/>
      <c r="I15" s="65"/>
      <c r="J15" s="118"/>
      <c r="K15" s="124"/>
      <c r="L15" s="118"/>
      <c r="M15" s="124"/>
      <c r="N15" s="118"/>
      <c r="O15" s="124"/>
      <c r="P15" s="118"/>
      <c r="Q15" s="124"/>
      <c r="R15" s="118"/>
      <c r="S15" s="118"/>
      <c r="T15" s="199"/>
      <c r="U15" s="231" t="s">
        <v>252</v>
      </c>
      <c r="V15" s="118"/>
      <c r="W15" s="65"/>
      <c r="X15" s="212"/>
      <c r="Y15" s="15"/>
      <c r="Z15" s="212"/>
      <c r="AA15" s="15"/>
      <c r="AB15" s="212"/>
      <c r="AC15" s="212"/>
      <c r="AD15" s="16"/>
      <c r="AE15" s="15"/>
      <c r="AF15" s="118"/>
      <c r="AG15" s="124"/>
      <c r="AH15" s="118"/>
      <c r="AI15" s="124"/>
      <c r="AJ15" s="118"/>
      <c r="AN15" s="12"/>
      <c r="AO15" s="14"/>
      <c r="AP15" s="212"/>
      <c r="AQ15" s="15"/>
      <c r="AR15" s="212"/>
      <c r="AS15" s="15"/>
      <c r="AT15" s="212"/>
      <c r="AU15" s="15"/>
      <c r="AV15" s="212"/>
    </row>
    <row r="16" spans="1:48" ht="15.75">
      <c r="A16" s="12"/>
      <c r="B16" s="1" t="s">
        <v>35</v>
      </c>
      <c r="C16" s="141">
        <v>1.2</v>
      </c>
      <c r="D16" s="3">
        <v>1.215</v>
      </c>
      <c r="E16" s="141">
        <v>1</v>
      </c>
      <c r="F16" s="3">
        <v>0.98</v>
      </c>
      <c r="G16" s="141">
        <v>0.99</v>
      </c>
      <c r="H16" s="3"/>
      <c r="I16" s="61">
        <v>1.084</v>
      </c>
      <c r="J16" s="141">
        <v>0.98</v>
      </c>
      <c r="K16" s="3">
        <v>0.977</v>
      </c>
      <c r="L16" s="141">
        <v>0.965</v>
      </c>
      <c r="M16" s="3"/>
      <c r="N16" s="141">
        <v>0.975</v>
      </c>
      <c r="O16" s="3">
        <v>1.03</v>
      </c>
      <c r="P16" s="141">
        <v>0.985</v>
      </c>
      <c r="Q16" s="3"/>
      <c r="R16" s="141">
        <v>0.99</v>
      </c>
      <c r="S16" s="141">
        <v>1</v>
      </c>
      <c r="T16" s="211">
        <v>0.975</v>
      </c>
      <c r="U16" s="141">
        <v>0.99</v>
      </c>
      <c r="V16" s="141"/>
      <c r="W16" s="61">
        <v>1.04</v>
      </c>
      <c r="X16" s="141"/>
      <c r="Y16" s="3">
        <v>0.99</v>
      </c>
      <c r="Z16" s="141">
        <v>0.98</v>
      </c>
      <c r="AA16" s="3">
        <v>1</v>
      </c>
      <c r="AB16" s="141">
        <v>0.985</v>
      </c>
      <c r="AC16" s="141">
        <v>0.98</v>
      </c>
      <c r="AD16" s="211"/>
      <c r="AE16" s="3">
        <v>1.03</v>
      </c>
      <c r="AF16" s="141">
        <v>0.95</v>
      </c>
      <c r="AG16" s="3">
        <v>0.98</v>
      </c>
      <c r="AH16" s="141">
        <v>0.975</v>
      </c>
      <c r="AI16" s="3">
        <v>0.97</v>
      </c>
      <c r="AJ16" s="141">
        <v>0.985</v>
      </c>
      <c r="AN16" s="12"/>
      <c r="AO16" s="61">
        <v>1.21</v>
      </c>
      <c r="AP16" s="141">
        <v>1.25</v>
      </c>
      <c r="AQ16" s="3">
        <v>1.14</v>
      </c>
      <c r="AR16" s="141">
        <v>1.26</v>
      </c>
      <c r="AS16" s="3">
        <v>1</v>
      </c>
      <c r="AT16" s="141">
        <v>1</v>
      </c>
      <c r="AU16" s="3">
        <v>1.15</v>
      </c>
      <c r="AV16" s="141">
        <v>1.17</v>
      </c>
    </row>
    <row r="17" spans="1:48" ht="15.75">
      <c r="A17" s="12"/>
      <c r="B17" s="1" t="s">
        <v>253</v>
      </c>
      <c r="C17" s="232">
        <v>58</v>
      </c>
      <c r="D17" s="7">
        <v>61</v>
      </c>
      <c r="E17" s="232">
        <v>32</v>
      </c>
      <c r="F17" s="7">
        <v>28</v>
      </c>
      <c r="G17" s="232">
        <v>31</v>
      </c>
      <c r="H17" s="7"/>
      <c r="I17" s="61">
        <v>49</v>
      </c>
      <c r="J17" s="232">
        <v>30</v>
      </c>
      <c r="K17" s="7">
        <v>30.39</v>
      </c>
      <c r="L17" s="232">
        <v>30</v>
      </c>
      <c r="M17" s="7"/>
      <c r="N17" s="232">
        <v>25.5</v>
      </c>
      <c r="O17" s="7">
        <v>38</v>
      </c>
      <c r="P17" s="232">
        <v>29.5</v>
      </c>
      <c r="Q17" s="7"/>
      <c r="R17" s="232">
        <v>32</v>
      </c>
      <c r="S17" s="232">
        <v>33</v>
      </c>
      <c r="T17" s="233">
        <v>29</v>
      </c>
      <c r="U17" s="232">
        <v>36</v>
      </c>
      <c r="V17" s="232"/>
      <c r="W17" s="87">
        <v>34</v>
      </c>
      <c r="X17" s="232"/>
      <c r="Y17" s="7">
        <v>31</v>
      </c>
      <c r="Z17" s="232">
        <v>29</v>
      </c>
      <c r="AA17" s="7">
        <v>32</v>
      </c>
      <c r="AB17" s="232">
        <v>31.5</v>
      </c>
      <c r="AC17" s="232">
        <v>32.5</v>
      </c>
      <c r="AD17" s="233"/>
      <c r="AE17" s="7">
        <v>35</v>
      </c>
      <c r="AF17" s="232">
        <v>32</v>
      </c>
      <c r="AG17" s="7">
        <v>37</v>
      </c>
      <c r="AH17" s="232">
        <v>36</v>
      </c>
      <c r="AI17" s="7">
        <v>45</v>
      </c>
      <c r="AJ17" s="232">
        <v>45</v>
      </c>
      <c r="AN17" s="12"/>
      <c r="AO17" s="61">
        <v>56</v>
      </c>
      <c r="AP17" s="141">
        <v>58</v>
      </c>
      <c r="AQ17" s="3">
        <v>53</v>
      </c>
      <c r="AR17" s="141">
        <v>58.1</v>
      </c>
      <c r="AS17" s="3">
        <v>60</v>
      </c>
      <c r="AT17" s="141">
        <v>60</v>
      </c>
      <c r="AU17" s="3">
        <v>53</v>
      </c>
      <c r="AV17" s="141">
        <v>53.3</v>
      </c>
    </row>
    <row r="18" spans="1:48" ht="15.75">
      <c r="A18" s="12"/>
      <c r="B18" s="1" t="s">
        <v>254</v>
      </c>
      <c r="C18" s="141">
        <v>0.9</v>
      </c>
      <c r="D18" s="3">
        <v>0.9</v>
      </c>
      <c r="E18" s="141">
        <v>0.9</v>
      </c>
      <c r="F18" s="3">
        <v>0.9</v>
      </c>
      <c r="G18" s="141">
        <v>0.9</v>
      </c>
      <c r="H18" s="3">
        <v>0.9</v>
      </c>
      <c r="I18" s="61">
        <v>0.9</v>
      </c>
      <c r="J18" s="141">
        <v>0.9</v>
      </c>
      <c r="K18" s="3">
        <v>0.9</v>
      </c>
      <c r="L18" s="141">
        <v>0.9</v>
      </c>
      <c r="M18" s="3">
        <v>0.9</v>
      </c>
      <c r="N18" s="141">
        <v>0.9</v>
      </c>
      <c r="O18" s="3">
        <v>0.9</v>
      </c>
      <c r="P18" s="141">
        <v>0.9</v>
      </c>
      <c r="Q18" s="3">
        <v>0.9</v>
      </c>
      <c r="R18" s="141">
        <v>0.9</v>
      </c>
      <c r="S18" s="141">
        <v>0.9</v>
      </c>
      <c r="T18" s="211">
        <v>0.9</v>
      </c>
      <c r="U18" s="141">
        <v>0.9</v>
      </c>
      <c r="V18" s="141">
        <v>0.9</v>
      </c>
      <c r="W18" s="61">
        <v>0.9</v>
      </c>
      <c r="X18" s="141">
        <v>0.9</v>
      </c>
      <c r="Y18" s="3">
        <v>0.9</v>
      </c>
      <c r="Z18" s="141">
        <v>0.9</v>
      </c>
      <c r="AA18" s="3">
        <v>0.9</v>
      </c>
      <c r="AB18" s="141">
        <v>0.9</v>
      </c>
      <c r="AC18" s="141">
        <v>0.9</v>
      </c>
      <c r="AD18" s="211">
        <v>0.9</v>
      </c>
      <c r="AE18" s="3">
        <v>0.9</v>
      </c>
      <c r="AF18" s="141">
        <v>0.9</v>
      </c>
      <c r="AG18" s="3">
        <v>0.9</v>
      </c>
      <c r="AH18" s="141">
        <v>0.9</v>
      </c>
      <c r="AI18" s="3">
        <v>0.9</v>
      </c>
      <c r="AJ18" s="141">
        <v>0.9</v>
      </c>
      <c r="AN18" s="12"/>
      <c r="AO18" s="61">
        <v>0.9</v>
      </c>
      <c r="AP18" s="141">
        <v>0.9</v>
      </c>
      <c r="AQ18" s="3">
        <v>0.9</v>
      </c>
      <c r="AR18" s="141">
        <v>0.9</v>
      </c>
      <c r="AS18" s="3">
        <v>0.9</v>
      </c>
      <c r="AT18" s="141">
        <v>0.9</v>
      </c>
      <c r="AU18" s="3">
        <v>0.9</v>
      </c>
      <c r="AV18" s="141">
        <v>0.9</v>
      </c>
    </row>
    <row r="19" spans="1:48" ht="15.75">
      <c r="A19" s="12"/>
      <c r="B19" s="3"/>
      <c r="C19" s="232"/>
      <c r="D19" s="7"/>
      <c r="E19" s="232"/>
      <c r="F19" s="7"/>
      <c r="G19" s="232"/>
      <c r="H19" s="7"/>
      <c r="I19" s="61"/>
      <c r="J19" s="232"/>
      <c r="K19" s="7"/>
      <c r="L19" s="232"/>
      <c r="M19" s="7"/>
      <c r="N19" s="232"/>
      <c r="O19" s="7"/>
      <c r="P19" s="232"/>
      <c r="Q19" s="7"/>
      <c r="R19" s="232"/>
      <c r="S19" s="232"/>
      <c r="T19" s="233"/>
      <c r="U19" s="232"/>
      <c r="V19" s="232"/>
      <c r="W19" s="87"/>
      <c r="X19" s="142"/>
      <c r="Z19" s="142"/>
      <c r="AB19" s="142"/>
      <c r="AC19" s="142"/>
      <c r="AD19" s="13"/>
      <c r="AF19" s="232"/>
      <c r="AG19" s="7"/>
      <c r="AH19" s="232"/>
      <c r="AI19" s="7"/>
      <c r="AJ19" s="232"/>
      <c r="AN19" s="12"/>
      <c r="AO19" s="61"/>
      <c r="AP19" s="141"/>
      <c r="AQ19" s="3"/>
      <c r="AR19" s="141"/>
      <c r="AS19" s="3"/>
      <c r="AT19" s="141"/>
      <c r="AU19" s="3"/>
      <c r="AV19" s="141"/>
    </row>
    <row r="20" spans="1:48" ht="15.75">
      <c r="A20" s="12"/>
      <c r="B20" s="1" t="s">
        <v>255</v>
      </c>
      <c r="C20" s="141">
        <v>29.21</v>
      </c>
      <c r="D20" s="3"/>
      <c r="E20" s="141">
        <v>38.92</v>
      </c>
      <c r="F20" s="3">
        <v>35.39</v>
      </c>
      <c r="G20" s="141">
        <v>30.81</v>
      </c>
      <c r="H20" s="3"/>
      <c r="I20" s="61"/>
      <c r="J20" s="141">
        <v>68.85</v>
      </c>
      <c r="K20" s="3"/>
      <c r="L20" s="141">
        <v>73.54</v>
      </c>
      <c r="M20" s="3"/>
      <c r="N20" s="141">
        <v>40.68</v>
      </c>
      <c r="O20" s="3"/>
      <c r="P20" s="141">
        <v>37.02</v>
      </c>
      <c r="Q20" s="3"/>
      <c r="R20" s="141">
        <v>40.31</v>
      </c>
      <c r="S20" s="141"/>
      <c r="T20" s="211">
        <v>49.7</v>
      </c>
      <c r="U20" s="141">
        <v>39.25</v>
      </c>
      <c r="V20" s="141"/>
      <c r="W20" s="61">
        <v>47.14</v>
      </c>
      <c r="X20" s="141"/>
      <c r="Y20" s="3">
        <v>32.25</v>
      </c>
      <c r="Z20" s="141"/>
      <c r="AA20" s="3"/>
      <c r="AB20" s="141"/>
      <c r="AC20" s="141">
        <v>43.36</v>
      </c>
      <c r="AD20" s="211"/>
      <c r="AE20" s="3">
        <v>25.3</v>
      </c>
      <c r="AF20" s="141"/>
      <c r="AG20" s="3">
        <v>36.76</v>
      </c>
      <c r="AH20" s="141">
        <v>36.22</v>
      </c>
      <c r="AI20" s="3">
        <v>23.61</v>
      </c>
      <c r="AJ20" s="141">
        <v>23.61</v>
      </c>
      <c r="AN20" s="12"/>
      <c r="AO20" s="61">
        <v>32.26</v>
      </c>
      <c r="AP20" s="141">
        <v>32.94</v>
      </c>
      <c r="AQ20" s="3">
        <v>33.57</v>
      </c>
      <c r="AR20" s="141">
        <v>33.64</v>
      </c>
      <c r="AS20" s="3">
        <v>30</v>
      </c>
      <c r="AT20" s="141">
        <v>30</v>
      </c>
      <c r="AU20" s="3">
        <v>31.18</v>
      </c>
      <c r="AV20" s="141">
        <v>31.6</v>
      </c>
    </row>
    <row r="21" spans="1:55" ht="15.75">
      <c r="A21" s="12"/>
      <c r="B21" s="57" t="s">
        <v>256</v>
      </c>
      <c r="C21" s="121">
        <f>C20+$Q$5</f>
        <v>29.21</v>
      </c>
      <c r="D21" s="73">
        <f>D20+$R$5</f>
        <v>0</v>
      </c>
      <c r="E21" s="121">
        <f>E20+$Q$5</f>
        <v>38.92</v>
      </c>
      <c r="F21" s="73">
        <f>F20+$R$5</f>
        <v>35.39</v>
      </c>
      <c r="G21" s="121">
        <f>G20+$Q$5</f>
        <v>30.81</v>
      </c>
      <c r="H21" s="73">
        <f>H20+$R$5</f>
        <v>0</v>
      </c>
      <c r="I21" s="107">
        <f>I20+$Q$5</f>
        <v>0</v>
      </c>
      <c r="J21" s="121">
        <f>J20+$R$5</f>
        <v>68.85</v>
      </c>
      <c r="K21" s="73">
        <f>K20+$Q$5</f>
        <v>0</v>
      </c>
      <c r="L21" s="121">
        <f>L20+$R$5</f>
        <v>73.54</v>
      </c>
      <c r="M21" s="73">
        <f>M20+$Q$5</f>
        <v>0</v>
      </c>
      <c r="N21" s="121">
        <f>N20+$R$5</f>
        <v>40.68</v>
      </c>
      <c r="O21" s="73">
        <f>O20+$R$5</f>
        <v>0</v>
      </c>
      <c r="P21" s="121">
        <f>P20+$R$5</f>
        <v>37.02</v>
      </c>
      <c r="Q21" s="73">
        <f>Q20+$Q$5</f>
        <v>0</v>
      </c>
      <c r="R21" s="121">
        <f>R20+$R$5</f>
        <v>40.31</v>
      </c>
      <c r="S21" s="121">
        <f>S20+$Q$5</f>
        <v>0</v>
      </c>
      <c r="T21" s="234">
        <f>T20+$R$5</f>
        <v>49.7</v>
      </c>
      <c r="U21" s="121">
        <f>U20+$Q$5</f>
        <v>39.25</v>
      </c>
      <c r="V21" s="121">
        <f>V20+$R$5</f>
        <v>0</v>
      </c>
      <c r="W21" s="107">
        <f>W20+$Q$5</f>
        <v>47.14</v>
      </c>
      <c r="X21" s="121">
        <f>X20+$R$5</f>
        <v>0</v>
      </c>
      <c r="Y21" s="73">
        <f>Y20+$Q$5</f>
        <v>32.25</v>
      </c>
      <c r="Z21" s="121">
        <f>Z20+$R$5</f>
        <v>0</v>
      </c>
      <c r="AA21" s="73">
        <f>AA20+$Q$5</f>
        <v>0</v>
      </c>
      <c r="AB21" s="121">
        <f>AB20+$R$5</f>
        <v>0</v>
      </c>
      <c r="AC21" s="121">
        <f>AC20+$Q$5</f>
        <v>43.36</v>
      </c>
      <c r="AD21" s="234">
        <f>AD20+$R$5</f>
        <v>0</v>
      </c>
      <c r="AE21" s="73">
        <f>AE20+$Q$5</f>
        <v>25.3</v>
      </c>
      <c r="AF21" s="121">
        <f>AF20+$R$5</f>
        <v>0</v>
      </c>
      <c r="AG21" s="73">
        <f>AG20+$Q$5</f>
        <v>36.76</v>
      </c>
      <c r="AH21" s="121">
        <f>AH20+$R$5</f>
        <v>36.22</v>
      </c>
      <c r="AI21" s="73">
        <f>AI20+$Q$5</f>
        <v>23.61</v>
      </c>
      <c r="AJ21" s="121">
        <f>AJ20+$R$5</f>
        <v>23.61</v>
      </c>
      <c r="AN21" s="12"/>
      <c r="AO21" s="107">
        <f>AO20+$Q$5</f>
        <v>32.26</v>
      </c>
      <c r="AP21" s="121">
        <f aca="true" t="shared" si="0" ref="AP21:AV21">AP20+$R$5</f>
        <v>32.94</v>
      </c>
      <c r="AQ21" s="73">
        <f t="shared" si="0"/>
        <v>33.57</v>
      </c>
      <c r="AR21" s="121">
        <f t="shared" si="0"/>
        <v>33.64</v>
      </c>
      <c r="AS21" s="73">
        <f t="shared" si="0"/>
        <v>30</v>
      </c>
      <c r="AT21" s="121">
        <f t="shared" si="0"/>
        <v>30</v>
      </c>
      <c r="AU21" s="73">
        <f t="shared" si="0"/>
        <v>31.18</v>
      </c>
      <c r="AV21" s="121">
        <f t="shared" si="0"/>
        <v>31.6</v>
      </c>
      <c r="AW21" s="3"/>
      <c r="AX21" s="3"/>
      <c r="AY21" s="3"/>
      <c r="AZ21" s="3"/>
      <c r="BA21" s="3"/>
      <c r="BB21" s="3"/>
      <c r="BC21" s="3"/>
    </row>
    <row r="22" spans="1:48" ht="15.75">
      <c r="A22" s="59" t="s">
        <v>31</v>
      </c>
      <c r="C22" s="118"/>
      <c r="D22" s="124"/>
      <c r="E22" s="118"/>
      <c r="F22" s="124"/>
      <c r="G22" s="118"/>
      <c r="H22" s="124"/>
      <c r="I22" s="65"/>
      <c r="J22" s="118"/>
      <c r="K22" s="124"/>
      <c r="L22" s="118"/>
      <c r="M22" s="124"/>
      <c r="N22" s="118"/>
      <c r="O22" s="124"/>
      <c r="P22" s="118"/>
      <c r="Q22" s="124"/>
      <c r="R22" s="118"/>
      <c r="S22" s="118"/>
      <c r="T22" s="199"/>
      <c r="U22" s="118"/>
      <c r="V22" s="118"/>
      <c r="W22" s="65"/>
      <c r="X22" s="212"/>
      <c r="Y22" s="15"/>
      <c r="Z22" s="212"/>
      <c r="AA22" s="15"/>
      <c r="AB22" s="212"/>
      <c r="AC22" s="212"/>
      <c r="AD22" s="16"/>
      <c r="AE22" s="15"/>
      <c r="AF22" s="118"/>
      <c r="AG22" s="124"/>
      <c r="AH22" s="118"/>
      <c r="AI22" s="124"/>
      <c r="AJ22" s="118"/>
      <c r="AN22" s="12"/>
      <c r="AO22" s="14"/>
      <c r="AP22" s="212"/>
      <c r="AQ22" s="15"/>
      <c r="AR22" s="212"/>
      <c r="AS22" s="15"/>
      <c r="AT22" s="212"/>
      <c r="AU22" s="15"/>
      <c r="AV22" s="212"/>
    </row>
    <row r="23" spans="1:48" ht="15.75">
      <c r="A23" s="12"/>
      <c r="B23" s="35" t="s">
        <v>32</v>
      </c>
      <c r="C23" s="213" t="s">
        <v>149</v>
      </c>
      <c r="D23" s="214" t="s">
        <v>257</v>
      </c>
      <c r="E23" s="213" t="s">
        <v>258</v>
      </c>
      <c r="F23" s="175" t="s">
        <v>259</v>
      </c>
      <c r="G23" s="213" t="s">
        <v>258</v>
      </c>
      <c r="H23" s="3"/>
      <c r="I23" s="215" t="s">
        <v>149</v>
      </c>
      <c r="J23" s="217" t="s">
        <v>260</v>
      </c>
      <c r="K23" s="175" t="s">
        <v>260</v>
      </c>
      <c r="L23" s="217" t="s">
        <v>260</v>
      </c>
      <c r="M23" s="214" t="s">
        <v>258</v>
      </c>
      <c r="N23" s="217" t="s">
        <v>259</v>
      </c>
      <c r="O23" s="3"/>
      <c r="P23" s="213" t="s">
        <v>258</v>
      </c>
      <c r="Q23" s="3"/>
      <c r="R23" s="217" t="s">
        <v>260</v>
      </c>
      <c r="S23" s="141"/>
      <c r="T23" s="235" t="s">
        <v>260</v>
      </c>
      <c r="U23" s="217" t="s">
        <v>259</v>
      </c>
      <c r="V23" s="141"/>
      <c r="W23" s="66" t="s">
        <v>259</v>
      </c>
      <c r="X23" s="213" t="s">
        <v>260</v>
      </c>
      <c r="Y23" s="214" t="s">
        <v>258</v>
      </c>
      <c r="Z23" s="141"/>
      <c r="AA23" s="3"/>
      <c r="AB23" s="141"/>
      <c r="AC23" s="213" t="s">
        <v>260</v>
      </c>
      <c r="AD23" s="211"/>
      <c r="AE23" s="175" t="s">
        <v>259</v>
      </c>
      <c r="AF23" s="217" t="s">
        <v>261</v>
      </c>
      <c r="AG23" s="3"/>
      <c r="AH23" s="217" t="s">
        <v>252</v>
      </c>
      <c r="AI23" s="214" t="s">
        <v>149</v>
      </c>
      <c r="AJ23" s="213" t="s">
        <v>149</v>
      </c>
      <c r="AK23" s="1" t="s">
        <v>252</v>
      </c>
      <c r="AN23" s="12"/>
      <c r="AO23" s="66" t="s">
        <v>259</v>
      </c>
      <c r="AP23" s="213" t="s">
        <v>262</v>
      </c>
      <c r="AQ23" s="175" t="s">
        <v>259</v>
      </c>
      <c r="AR23" s="213" t="s">
        <v>262</v>
      </c>
      <c r="AS23" s="3"/>
      <c r="AT23" s="141"/>
      <c r="AU23" s="175" t="s">
        <v>259</v>
      </c>
      <c r="AV23" s="213" t="s">
        <v>262</v>
      </c>
    </row>
    <row r="24" spans="1:48" ht="15.75">
      <c r="A24" s="12"/>
      <c r="B24" s="1" t="s">
        <v>263</v>
      </c>
      <c r="C24" s="217" t="s">
        <v>252</v>
      </c>
      <c r="D24" s="175" t="s">
        <v>252</v>
      </c>
      <c r="E24" s="217" t="s">
        <v>252</v>
      </c>
      <c r="F24" s="175" t="s">
        <v>252</v>
      </c>
      <c r="G24" s="217" t="s">
        <v>252</v>
      </c>
      <c r="H24" s="175" t="s">
        <v>252</v>
      </c>
      <c r="I24" s="66" t="s">
        <v>252</v>
      </c>
      <c r="J24" s="217" t="s">
        <v>252</v>
      </c>
      <c r="K24" s="175" t="s">
        <v>252</v>
      </c>
      <c r="L24" s="217" t="s">
        <v>252</v>
      </c>
      <c r="M24" s="175" t="s">
        <v>252</v>
      </c>
      <c r="N24" s="217" t="s">
        <v>252</v>
      </c>
      <c r="O24" s="175" t="s">
        <v>252</v>
      </c>
      <c r="P24" s="217" t="s">
        <v>252</v>
      </c>
      <c r="Q24" s="175" t="s">
        <v>252</v>
      </c>
      <c r="R24" s="217" t="s">
        <v>252</v>
      </c>
      <c r="S24" s="217" t="s">
        <v>252</v>
      </c>
      <c r="T24" s="235" t="s">
        <v>252</v>
      </c>
      <c r="U24" s="217" t="s">
        <v>252</v>
      </c>
      <c r="V24" s="217" t="s">
        <v>252</v>
      </c>
      <c r="W24" s="66" t="s">
        <v>252</v>
      </c>
      <c r="X24" s="217" t="s">
        <v>252</v>
      </c>
      <c r="Y24" s="175" t="s">
        <v>252</v>
      </c>
      <c r="Z24" s="142"/>
      <c r="AA24" s="175" t="s">
        <v>252</v>
      </c>
      <c r="AB24" s="217" t="s">
        <v>252</v>
      </c>
      <c r="AC24" s="217" t="s">
        <v>252</v>
      </c>
      <c r="AD24" s="235" t="s">
        <v>252</v>
      </c>
      <c r="AF24" s="217" t="s">
        <v>252</v>
      </c>
      <c r="AH24" s="217" t="s">
        <v>252</v>
      </c>
      <c r="AI24" s="3"/>
      <c r="AJ24" s="141"/>
      <c r="AN24" s="12"/>
      <c r="AO24" s="61"/>
      <c r="AP24" s="141"/>
      <c r="AQ24" s="3"/>
      <c r="AR24" s="141"/>
      <c r="AS24" s="3"/>
      <c r="AT24" s="141"/>
      <c r="AU24" s="3"/>
      <c r="AV24" s="141"/>
    </row>
    <row r="25" spans="1:48" ht="15.75">
      <c r="A25" s="12"/>
      <c r="B25" s="1" t="s">
        <v>264</v>
      </c>
      <c r="C25" s="141">
        <v>8</v>
      </c>
      <c r="D25" s="3">
        <v>9</v>
      </c>
      <c r="E25" s="141">
        <v>24</v>
      </c>
      <c r="F25" s="3">
        <v>25</v>
      </c>
      <c r="G25" s="141">
        <v>39</v>
      </c>
      <c r="H25" s="3">
        <v>14</v>
      </c>
      <c r="I25" s="61">
        <v>9</v>
      </c>
      <c r="J25" s="141">
        <v>38</v>
      </c>
      <c r="K25" s="3">
        <v>27</v>
      </c>
      <c r="L25" s="141">
        <v>37</v>
      </c>
      <c r="M25" s="3">
        <v>41</v>
      </c>
      <c r="N25" s="141">
        <v>26</v>
      </c>
      <c r="O25" s="3">
        <v>45</v>
      </c>
      <c r="P25" s="141">
        <v>42</v>
      </c>
      <c r="Q25" s="3">
        <v>41</v>
      </c>
      <c r="R25" s="141">
        <v>34</v>
      </c>
      <c r="S25" s="141">
        <v>39</v>
      </c>
      <c r="T25" s="211">
        <v>42</v>
      </c>
      <c r="U25" s="141">
        <v>36</v>
      </c>
      <c r="V25" s="141">
        <v>23</v>
      </c>
      <c r="W25" s="61">
        <v>43</v>
      </c>
      <c r="X25" s="141">
        <v>13</v>
      </c>
      <c r="Y25" s="3">
        <v>34</v>
      </c>
      <c r="Z25" s="141">
        <v>25</v>
      </c>
      <c r="AA25" s="3">
        <v>29</v>
      </c>
      <c r="AB25" s="141">
        <v>25</v>
      </c>
      <c r="AC25" s="141">
        <v>35</v>
      </c>
      <c r="AD25" s="211">
        <v>34</v>
      </c>
      <c r="AE25" s="3">
        <v>44</v>
      </c>
      <c r="AF25" s="141">
        <v>20</v>
      </c>
      <c r="AG25" s="3">
        <v>23</v>
      </c>
      <c r="AH25" s="141">
        <v>0</v>
      </c>
      <c r="AI25" s="3">
        <v>13</v>
      </c>
      <c r="AJ25" s="141">
        <v>16</v>
      </c>
      <c r="AN25" s="12"/>
      <c r="AO25" s="61">
        <v>11</v>
      </c>
      <c r="AP25" s="141">
        <v>10</v>
      </c>
      <c r="AQ25" s="3">
        <v>11</v>
      </c>
      <c r="AR25" s="141">
        <v>9</v>
      </c>
      <c r="AS25" s="3"/>
      <c r="AT25" s="141"/>
      <c r="AU25" s="3">
        <v>13</v>
      </c>
      <c r="AV25" s="141">
        <v>10</v>
      </c>
    </row>
    <row r="26" spans="1:48" ht="15.75">
      <c r="A26" s="12"/>
      <c r="B26" s="1" t="s">
        <v>35</v>
      </c>
      <c r="C26" s="141">
        <v>0.864</v>
      </c>
      <c r="D26" s="3">
        <v>0.864</v>
      </c>
      <c r="E26" s="141">
        <v>0.873</v>
      </c>
      <c r="F26" s="3">
        <v>0.871</v>
      </c>
      <c r="G26" s="141">
        <v>0.873</v>
      </c>
      <c r="H26" s="3">
        <v>0.869</v>
      </c>
      <c r="I26" s="61">
        <v>0.864</v>
      </c>
      <c r="J26" s="141">
        <v>0.875</v>
      </c>
      <c r="K26" s="3">
        <v>0.875</v>
      </c>
      <c r="L26" s="141">
        <v>0.875</v>
      </c>
      <c r="M26" s="3">
        <v>0.873</v>
      </c>
      <c r="N26" s="141">
        <v>0.871</v>
      </c>
      <c r="O26" s="3">
        <v>0.871</v>
      </c>
      <c r="P26" s="141">
        <v>0.873</v>
      </c>
      <c r="Q26" s="3">
        <v>0.882</v>
      </c>
      <c r="R26" s="141">
        <v>0.875</v>
      </c>
      <c r="S26" s="141">
        <v>0.873</v>
      </c>
      <c r="T26" s="211">
        <v>0.875</v>
      </c>
      <c r="U26" s="141">
        <v>0.871</v>
      </c>
      <c r="V26" s="141">
        <v>0.875</v>
      </c>
      <c r="W26" s="61">
        <v>0.871</v>
      </c>
      <c r="X26" s="141">
        <v>0.875</v>
      </c>
      <c r="Y26" s="3">
        <v>0.873</v>
      </c>
      <c r="Z26" s="141">
        <v>0.871</v>
      </c>
      <c r="AA26" s="3">
        <v>0.873</v>
      </c>
      <c r="AB26" s="141">
        <v>0.871</v>
      </c>
      <c r="AC26" s="141">
        <v>0.875</v>
      </c>
      <c r="AD26" s="211">
        <v>0.871</v>
      </c>
      <c r="AE26" s="3">
        <v>0.871</v>
      </c>
      <c r="AF26" s="141">
        <v>0.869</v>
      </c>
      <c r="AG26" s="3">
        <v>0.871</v>
      </c>
      <c r="AH26" s="141">
        <v>0</v>
      </c>
      <c r="AI26" s="3">
        <v>0.864</v>
      </c>
      <c r="AJ26" s="141">
        <v>0.864</v>
      </c>
      <c r="AN26" s="12"/>
      <c r="AO26" s="61">
        <v>0.871</v>
      </c>
      <c r="AP26" s="141">
        <v>0.882</v>
      </c>
      <c r="AQ26" s="3">
        <v>0.871</v>
      </c>
      <c r="AR26" s="141">
        <v>0.882</v>
      </c>
      <c r="AS26" s="3"/>
      <c r="AT26" s="141"/>
      <c r="AU26" s="3">
        <v>0.871</v>
      </c>
      <c r="AV26" s="141">
        <v>0.882</v>
      </c>
    </row>
    <row r="27" spans="1:57" ht="15.75">
      <c r="A27" s="12"/>
      <c r="B27" s="1" t="s">
        <v>265</v>
      </c>
      <c r="C27" s="236">
        <v>3.076</v>
      </c>
      <c r="D27" s="169">
        <v>3.076</v>
      </c>
      <c r="E27" s="236">
        <v>5.547</v>
      </c>
      <c r="F27" s="169">
        <v>5.049</v>
      </c>
      <c r="G27" s="236">
        <v>5.547</v>
      </c>
      <c r="H27" s="169">
        <v>3.274</v>
      </c>
      <c r="I27" s="237">
        <v>3.076</v>
      </c>
      <c r="J27" s="236">
        <v>6.048</v>
      </c>
      <c r="K27" s="169">
        <v>6.048</v>
      </c>
      <c r="L27" s="236">
        <v>6.048</v>
      </c>
      <c r="M27" s="169">
        <v>5.547</v>
      </c>
      <c r="N27" s="236">
        <v>5.049</v>
      </c>
      <c r="O27" s="169">
        <v>3.683</v>
      </c>
      <c r="P27" s="236">
        <v>5.547</v>
      </c>
      <c r="Q27" s="169">
        <v>5.398</v>
      </c>
      <c r="R27" s="236">
        <v>6.048</v>
      </c>
      <c r="S27" s="236">
        <v>3.969</v>
      </c>
      <c r="T27" s="238">
        <v>6.048</v>
      </c>
      <c r="U27" s="236">
        <v>5.049</v>
      </c>
      <c r="V27" s="236">
        <v>4.404</v>
      </c>
      <c r="W27" s="237">
        <v>5.049</v>
      </c>
      <c r="X27" s="236">
        <v>6.048</v>
      </c>
      <c r="Y27" s="169">
        <v>5.547</v>
      </c>
      <c r="Z27" s="236">
        <v>3.683</v>
      </c>
      <c r="AA27" s="169">
        <v>3.969</v>
      </c>
      <c r="AB27" s="236">
        <v>3.683</v>
      </c>
      <c r="AC27" s="236">
        <v>6.048</v>
      </c>
      <c r="AD27" s="238">
        <v>3.912</v>
      </c>
      <c r="AE27" s="169">
        <v>5.049</v>
      </c>
      <c r="AF27" s="236">
        <v>3.385</v>
      </c>
      <c r="AG27" s="169">
        <v>3.912</v>
      </c>
      <c r="AH27" s="236">
        <v>1</v>
      </c>
      <c r="AI27" s="169">
        <v>3.076</v>
      </c>
      <c r="AJ27" s="236">
        <v>3.076</v>
      </c>
      <c r="AK27" s="6"/>
      <c r="AL27" s="6"/>
      <c r="AM27" s="6"/>
      <c r="AN27" s="105"/>
      <c r="AO27" s="237">
        <v>5.049</v>
      </c>
      <c r="AP27" s="236">
        <v>5.398</v>
      </c>
      <c r="AQ27" s="169">
        <v>5.049</v>
      </c>
      <c r="AR27" s="236">
        <v>5.398</v>
      </c>
      <c r="AS27" s="3"/>
      <c r="AT27" s="141"/>
      <c r="AU27" s="169">
        <v>5.049</v>
      </c>
      <c r="AV27" s="236">
        <v>5.398</v>
      </c>
      <c r="AW27" s="6"/>
      <c r="AX27" s="6"/>
      <c r="AY27" s="6"/>
      <c r="AZ27" s="6"/>
      <c r="BA27" s="6"/>
      <c r="BB27" s="6"/>
      <c r="BC27" s="6"/>
      <c r="BD27" s="6"/>
      <c r="BE27" s="6"/>
    </row>
    <row r="28" spans="1:48" ht="15.75">
      <c r="A28" s="12"/>
      <c r="C28" s="232"/>
      <c r="D28" s="7"/>
      <c r="E28" s="232"/>
      <c r="F28" s="7"/>
      <c r="G28" s="232"/>
      <c r="H28" s="7"/>
      <c r="I28" s="61"/>
      <c r="J28" s="232"/>
      <c r="K28" s="7"/>
      <c r="L28" s="232"/>
      <c r="M28" s="7"/>
      <c r="N28" s="141"/>
      <c r="O28" s="7"/>
      <c r="P28" s="232"/>
      <c r="Q28" s="7"/>
      <c r="R28" s="232"/>
      <c r="S28" s="232"/>
      <c r="T28" s="233"/>
      <c r="U28" s="232"/>
      <c r="V28" s="232"/>
      <c r="W28" s="87"/>
      <c r="X28" s="142"/>
      <c r="Z28" s="142"/>
      <c r="AB28" s="142"/>
      <c r="AC28" s="142"/>
      <c r="AD28" s="13"/>
      <c r="AF28" s="141"/>
      <c r="AG28" s="7"/>
      <c r="AH28" s="232"/>
      <c r="AI28" s="7"/>
      <c r="AJ28" s="232"/>
      <c r="AN28" s="12"/>
      <c r="AO28" s="61"/>
      <c r="AP28" s="141"/>
      <c r="AQ28" s="3"/>
      <c r="AR28" s="141"/>
      <c r="AS28" s="3"/>
      <c r="AT28" s="141"/>
      <c r="AU28" s="3"/>
      <c r="AV28" s="141"/>
    </row>
    <row r="29" spans="1:48" ht="15.75">
      <c r="A29" s="12"/>
      <c r="B29" s="35" t="s">
        <v>39</v>
      </c>
      <c r="C29" s="141"/>
      <c r="D29" s="3"/>
      <c r="E29" s="141"/>
      <c r="F29" s="3"/>
      <c r="G29" s="141"/>
      <c r="H29" s="3"/>
      <c r="I29" s="61"/>
      <c r="J29" s="141"/>
      <c r="K29" s="3"/>
      <c r="L29" s="141"/>
      <c r="M29" s="3"/>
      <c r="N29" s="141"/>
      <c r="O29" s="3"/>
      <c r="P29" s="141"/>
      <c r="Q29" s="3"/>
      <c r="R29" s="141"/>
      <c r="S29" s="141"/>
      <c r="T29" s="211"/>
      <c r="U29" s="141"/>
      <c r="V29" s="141"/>
      <c r="W29" s="61"/>
      <c r="X29" s="142"/>
      <c r="Z29" s="142"/>
      <c r="AB29" s="142"/>
      <c r="AC29" s="142"/>
      <c r="AD29" s="13"/>
      <c r="AF29" s="141"/>
      <c r="AG29" s="3"/>
      <c r="AH29" s="141"/>
      <c r="AI29" s="3"/>
      <c r="AJ29" s="141"/>
      <c r="AN29" s="12"/>
      <c r="AO29" s="61"/>
      <c r="AP29" s="141"/>
      <c r="AQ29" s="3"/>
      <c r="AR29" s="141"/>
      <c r="AS29" s="3"/>
      <c r="AT29" s="141"/>
      <c r="AU29" s="3"/>
      <c r="AV29" s="141"/>
    </row>
    <row r="30" spans="1:48" ht="15.75">
      <c r="A30" s="12"/>
      <c r="B30" s="1" t="s">
        <v>263</v>
      </c>
      <c r="C30" s="141"/>
      <c r="D30" s="3"/>
      <c r="E30" s="141"/>
      <c r="F30" s="3"/>
      <c r="G30" s="141"/>
      <c r="H30" s="3"/>
      <c r="I30" s="61"/>
      <c r="J30" s="141"/>
      <c r="K30" s="3"/>
      <c r="L30" s="141"/>
      <c r="M30" s="3"/>
      <c r="N30" s="141"/>
      <c r="O30" s="3"/>
      <c r="P30" s="141"/>
      <c r="Q30" s="3"/>
      <c r="R30" s="141"/>
      <c r="S30" s="141"/>
      <c r="T30" s="211"/>
      <c r="U30" s="141"/>
      <c r="V30" s="141"/>
      <c r="W30" s="61"/>
      <c r="X30" s="142"/>
      <c r="Z30" s="142"/>
      <c r="AB30" s="142"/>
      <c r="AC30" s="142"/>
      <c r="AD30" s="13"/>
      <c r="AF30" s="141"/>
      <c r="AG30" s="3"/>
      <c r="AH30" s="141"/>
      <c r="AI30" s="3"/>
      <c r="AJ30" s="141"/>
      <c r="AN30" s="12"/>
      <c r="AO30" s="61"/>
      <c r="AP30" s="141"/>
      <c r="AQ30" s="3"/>
      <c r="AR30" s="141"/>
      <c r="AS30" s="3"/>
      <c r="AT30" s="141"/>
      <c r="AU30" s="3"/>
      <c r="AV30" s="141"/>
    </row>
    <row r="31" spans="1:48" ht="15.75">
      <c r="A31" s="12"/>
      <c r="B31" s="1" t="s">
        <v>264</v>
      </c>
      <c r="C31" s="141"/>
      <c r="D31" s="3"/>
      <c r="E31" s="141"/>
      <c r="F31" s="3"/>
      <c r="G31" s="141"/>
      <c r="H31" s="3"/>
      <c r="I31" s="61"/>
      <c r="J31" s="141"/>
      <c r="K31" s="3"/>
      <c r="L31" s="141"/>
      <c r="M31" s="3"/>
      <c r="N31" s="141"/>
      <c r="O31" s="3"/>
      <c r="P31" s="141"/>
      <c r="Q31" s="3"/>
      <c r="R31" s="141"/>
      <c r="S31" s="141"/>
      <c r="T31" s="211"/>
      <c r="U31" s="141"/>
      <c r="V31" s="141"/>
      <c r="W31" s="61"/>
      <c r="X31" s="142"/>
      <c r="Z31" s="142"/>
      <c r="AB31" s="142"/>
      <c r="AC31" s="142"/>
      <c r="AD31" s="13"/>
      <c r="AF31" s="141"/>
      <c r="AG31" s="3"/>
      <c r="AH31" s="141"/>
      <c r="AI31" s="3"/>
      <c r="AJ31" s="141"/>
      <c r="AN31" s="12"/>
      <c r="AO31" s="61"/>
      <c r="AP31" s="141"/>
      <c r="AQ31" s="3"/>
      <c r="AR31" s="141"/>
      <c r="AS31" s="3"/>
      <c r="AT31" s="141"/>
      <c r="AU31" s="3"/>
      <c r="AV31" s="141"/>
    </row>
    <row r="32" spans="1:48" ht="15.75">
      <c r="A32" s="12"/>
      <c r="B32" s="1" t="s">
        <v>35</v>
      </c>
      <c r="C32" s="141">
        <v>1</v>
      </c>
      <c r="D32" s="3">
        <v>1</v>
      </c>
      <c r="E32" s="141">
        <v>1</v>
      </c>
      <c r="F32" s="3">
        <v>1</v>
      </c>
      <c r="G32" s="141">
        <v>1</v>
      </c>
      <c r="H32" s="3">
        <v>1</v>
      </c>
      <c r="I32" s="61">
        <v>1</v>
      </c>
      <c r="J32" s="141">
        <v>1</v>
      </c>
      <c r="K32" s="3">
        <v>1</v>
      </c>
      <c r="L32" s="141">
        <v>1</v>
      </c>
      <c r="M32" s="3">
        <v>1</v>
      </c>
      <c r="N32" s="141">
        <v>1</v>
      </c>
      <c r="O32" s="3">
        <v>1</v>
      </c>
      <c r="P32" s="141">
        <v>1</v>
      </c>
      <c r="Q32" s="3">
        <v>1</v>
      </c>
      <c r="R32" s="141">
        <v>1</v>
      </c>
      <c r="S32" s="141">
        <v>1</v>
      </c>
      <c r="T32" s="211">
        <v>1</v>
      </c>
      <c r="U32" s="141">
        <v>1</v>
      </c>
      <c r="V32" s="141">
        <v>1</v>
      </c>
      <c r="W32" s="61"/>
      <c r="X32" s="142"/>
      <c r="Z32" s="142"/>
      <c r="AB32" s="142"/>
      <c r="AC32" s="142"/>
      <c r="AD32" s="13"/>
      <c r="AF32" s="141"/>
      <c r="AG32" s="3"/>
      <c r="AH32" s="141"/>
      <c r="AI32" s="3"/>
      <c r="AJ32" s="141"/>
      <c r="AN32" s="12"/>
      <c r="AO32" s="61"/>
      <c r="AP32" s="141"/>
      <c r="AQ32" s="3"/>
      <c r="AR32" s="141"/>
      <c r="AS32" s="3"/>
      <c r="AT32" s="141"/>
      <c r="AU32" s="3"/>
      <c r="AV32" s="141"/>
    </row>
    <row r="33" spans="1:48" ht="15.75">
      <c r="A33" s="12"/>
      <c r="B33" s="1" t="s">
        <v>265</v>
      </c>
      <c r="C33" s="232"/>
      <c r="D33" s="7"/>
      <c r="E33" s="232"/>
      <c r="F33" s="7"/>
      <c r="G33" s="232"/>
      <c r="H33" s="7"/>
      <c r="I33" s="61"/>
      <c r="J33" s="232"/>
      <c r="K33" s="7"/>
      <c r="L33" s="232"/>
      <c r="M33" s="7"/>
      <c r="N33" s="232"/>
      <c r="O33" s="7"/>
      <c r="P33" s="232"/>
      <c r="Q33" s="7"/>
      <c r="R33" s="232"/>
      <c r="S33" s="232"/>
      <c r="T33" s="233"/>
      <c r="U33" s="232"/>
      <c r="V33" s="232"/>
      <c r="W33" s="87"/>
      <c r="X33" s="142"/>
      <c r="Z33" s="142"/>
      <c r="AB33" s="142"/>
      <c r="AC33" s="142"/>
      <c r="AD33" s="13"/>
      <c r="AF33" s="232"/>
      <c r="AG33" s="7"/>
      <c r="AH33" s="232"/>
      <c r="AI33" s="7"/>
      <c r="AJ33" s="232"/>
      <c r="AN33" s="12"/>
      <c r="AO33" s="61"/>
      <c r="AP33" s="141"/>
      <c r="AQ33" s="3"/>
      <c r="AR33" s="141"/>
      <c r="AS33" s="3"/>
      <c r="AT33" s="141"/>
      <c r="AU33" s="3"/>
      <c r="AV33" s="141"/>
    </row>
    <row r="34" spans="1:48" ht="15.75">
      <c r="A34" s="12"/>
      <c r="B34" s="18"/>
      <c r="C34" s="239"/>
      <c r="D34" s="240"/>
      <c r="E34" s="239"/>
      <c r="F34" s="240"/>
      <c r="G34" s="239"/>
      <c r="H34" s="240"/>
      <c r="I34" s="64"/>
      <c r="J34" s="239"/>
      <c r="K34" s="240"/>
      <c r="L34" s="239"/>
      <c r="M34" s="240"/>
      <c r="N34" s="239"/>
      <c r="O34" s="240"/>
      <c r="P34" s="239"/>
      <c r="Q34" s="240"/>
      <c r="R34" s="239"/>
      <c r="S34" s="239"/>
      <c r="T34" s="241"/>
      <c r="U34" s="239"/>
      <c r="V34" s="239"/>
      <c r="W34" s="242"/>
      <c r="X34" s="20"/>
      <c r="Y34" s="18"/>
      <c r="Z34" s="20"/>
      <c r="AA34" s="18"/>
      <c r="AB34" s="20"/>
      <c r="AC34" s="20"/>
      <c r="AD34" s="19"/>
      <c r="AE34" s="18"/>
      <c r="AF34" s="239"/>
      <c r="AG34" s="240"/>
      <c r="AH34" s="239"/>
      <c r="AI34" s="240"/>
      <c r="AJ34" s="239"/>
      <c r="AN34" s="12"/>
      <c r="AO34" s="64"/>
      <c r="AP34" s="143"/>
      <c r="AQ34" s="70"/>
      <c r="AR34" s="143"/>
      <c r="AS34" s="70"/>
      <c r="AT34" s="143"/>
      <c r="AU34" s="70"/>
      <c r="AV34" s="143"/>
    </row>
    <row r="35" spans="1:54" ht="15.75">
      <c r="A35" s="59" t="s">
        <v>266</v>
      </c>
      <c r="B35" s="22"/>
      <c r="C35" s="212"/>
      <c r="D35" s="15"/>
      <c r="E35" s="212"/>
      <c r="F35" s="15"/>
      <c r="G35" s="212"/>
      <c r="H35" s="15"/>
      <c r="I35" s="14"/>
      <c r="J35" s="212"/>
      <c r="K35" s="15"/>
      <c r="L35" s="212"/>
      <c r="M35" s="15"/>
      <c r="N35" s="212"/>
      <c r="O35" s="15"/>
      <c r="P35" s="212"/>
      <c r="Q35" s="15"/>
      <c r="R35" s="212"/>
      <c r="S35" s="212"/>
      <c r="T35" s="16"/>
      <c r="U35" s="212"/>
      <c r="V35" s="212"/>
      <c r="W35" s="14"/>
      <c r="X35" s="212"/>
      <c r="Y35" s="15"/>
      <c r="Z35" s="212"/>
      <c r="AA35" s="15"/>
      <c r="AB35" s="212"/>
      <c r="AC35" s="212"/>
      <c r="AD35" s="16"/>
      <c r="AE35" s="15"/>
      <c r="AF35" s="212"/>
      <c r="AG35" s="15"/>
      <c r="AH35" s="212"/>
      <c r="AI35" s="15"/>
      <c r="AJ35" s="212"/>
      <c r="AN35" s="12"/>
      <c r="AO35" s="14"/>
      <c r="AP35" s="212"/>
      <c r="AQ35" s="15"/>
      <c r="AR35" s="212"/>
      <c r="AS35" s="15"/>
      <c r="AT35" s="212"/>
      <c r="AU35" s="15"/>
      <c r="AV35" s="212"/>
      <c r="AW35" s="3"/>
      <c r="AX35" s="3"/>
      <c r="AY35" s="3"/>
      <c r="AZ35" s="3"/>
      <c r="BA35" s="3"/>
      <c r="BB35" s="3"/>
    </row>
    <row r="36" spans="1:54" ht="15.75">
      <c r="A36" s="12"/>
      <c r="B36" s="1" t="s">
        <v>267</v>
      </c>
      <c r="C36" s="128">
        <f aca="true" t="shared" si="1" ref="C36:L36">100-C16*(100-C17)/C18</f>
        <v>44</v>
      </c>
      <c r="D36" s="5">
        <f t="shared" si="1"/>
        <v>47.349999999999994</v>
      </c>
      <c r="E36" s="128">
        <f t="shared" si="1"/>
        <v>24.444444444444443</v>
      </c>
      <c r="F36" s="5">
        <f t="shared" si="1"/>
        <v>21.599999999999994</v>
      </c>
      <c r="G36" s="128">
        <f t="shared" si="1"/>
        <v>24.099999999999994</v>
      </c>
      <c r="H36" s="5">
        <f t="shared" si="1"/>
        <v>100</v>
      </c>
      <c r="I36" s="62">
        <f t="shared" si="1"/>
        <v>38.57333333333333</v>
      </c>
      <c r="J36" s="128">
        <f t="shared" si="1"/>
        <v>23.777777777777786</v>
      </c>
      <c r="K36" s="5">
        <f t="shared" si="1"/>
        <v>24.434477777777772</v>
      </c>
      <c r="L36" s="128">
        <f t="shared" si="1"/>
        <v>24.944444444444443</v>
      </c>
      <c r="M36" s="5">
        <f aca="true" t="shared" si="2" ref="M36:V36">100-M16*(100-M17)/M18</f>
        <v>100</v>
      </c>
      <c r="N36" s="128">
        <f t="shared" si="2"/>
        <v>19.29166666666667</v>
      </c>
      <c r="O36" s="5">
        <f t="shared" si="2"/>
        <v>29.04444444444445</v>
      </c>
      <c r="P36" s="128">
        <f t="shared" si="2"/>
        <v>22.84166666666667</v>
      </c>
      <c r="Q36" s="5">
        <f t="shared" si="2"/>
        <v>100</v>
      </c>
      <c r="R36" s="128">
        <f t="shared" si="2"/>
        <v>25.200000000000003</v>
      </c>
      <c r="S36" s="128">
        <f t="shared" si="2"/>
        <v>25.555555555555557</v>
      </c>
      <c r="T36" s="243">
        <f t="shared" si="2"/>
        <v>23.083333333333343</v>
      </c>
      <c r="U36" s="128">
        <f t="shared" si="2"/>
        <v>29.60000000000001</v>
      </c>
      <c r="V36" s="128">
        <f t="shared" si="2"/>
        <v>100</v>
      </c>
      <c r="W36" s="62">
        <f aca="true" t="shared" si="3" ref="W36:AJ36">100-W16*(100-W17)/W18</f>
        <v>23.733333333333334</v>
      </c>
      <c r="X36" s="128">
        <f t="shared" si="3"/>
        <v>100</v>
      </c>
      <c r="Y36" s="5">
        <f t="shared" si="3"/>
        <v>24.099999999999994</v>
      </c>
      <c r="Z36" s="128">
        <f t="shared" si="3"/>
        <v>22.688888888888897</v>
      </c>
      <c r="AA36" s="5">
        <f t="shared" si="3"/>
        <v>24.444444444444443</v>
      </c>
      <c r="AB36" s="128">
        <f t="shared" si="3"/>
        <v>25.030555555555566</v>
      </c>
      <c r="AC36" s="128">
        <f t="shared" si="3"/>
        <v>26.5</v>
      </c>
      <c r="AD36" s="243">
        <f t="shared" si="3"/>
        <v>100</v>
      </c>
      <c r="AE36" s="5">
        <f t="shared" si="3"/>
        <v>25.611111111111114</v>
      </c>
      <c r="AF36" s="128">
        <f t="shared" si="3"/>
        <v>28.22222222222223</v>
      </c>
      <c r="AG36" s="5">
        <f t="shared" si="3"/>
        <v>31.400000000000006</v>
      </c>
      <c r="AH36" s="128">
        <f t="shared" si="3"/>
        <v>30.66666666666667</v>
      </c>
      <c r="AI36" s="5">
        <f t="shared" si="3"/>
        <v>40.72222222222222</v>
      </c>
      <c r="AJ36" s="128">
        <f t="shared" si="3"/>
        <v>39.80555555555556</v>
      </c>
      <c r="AN36" s="12"/>
      <c r="AO36" s="62">
        <f aca="true" t="shared" si="4" ref="AO36:AV36">100-AO16*(100-AO17)/AO18</f>
        <v>40.84444444444445</v>
      </c>
      <c r="AP36" s="128">
        <f t="shared" si="4"/>
        <v>41.66666666666667</v>
      </c>
      <c r="AQ36" s="5">
        <f t="shared" si="4"/>
        <v>40.46666666666667</v>
      </c>
      <c r="AR36" s="128">
        <f t="shared" si="4"/>
        <v>41.34</v>
      </c>
      <c r="AS36" s="5">
        <f t="shared" si="4"/>
        <v>55.55555555555556</v>
      </c>
      <c r="AT36" s="128">
        <f t="shared" si="4"/>
        <v>55.55555555555556</v>
      </c>
      <c r="AU36" s="5">
        <f t="shared" si="4"/>
        <v>39.94444444444445</v>
      </c>
      <c r="AV36" s="128">
        <f t="shared" si="4"/>
        <v>39.29</v>
      </c>
      <c r="AW36" s="3"/>
      <c r="AX36" s="3"/>
      <c r="AY36" s="3"/>
      <c r="AZ36" s="3"/>
      <c r="BA36" s="3"/>
      <c r="BB36" s="3"/>
    </row>
    <row r="37" spans="1:54" ht="15.75">
      <c r="A37" s="12"/>
      <c r="B37" s="1" t="s">
        <v>268</v>
      </c>
      <c r="C37" s="128">
        <f aca="true" t="shared" si="5" ref="C37:L37">C17*C16/C36</f>
        <v>1.5818181818181818</v>
      </c>
      <c r="D37" s="5">
        <f t="shared" si="5"/>
        <v>1.5652587117212253</v>
      </c>
      <c r="E37" s="128">
        <f t="shared" si="5"/>
        <v>1.309090909090909</v>
      </c>
      <c r="F37" s="5">
        <f t="shared" si="5"/>
        <v>1.2703703703703706</v>
      </c>
      <c r="G37" s="128">
        <f t="shared" si="5"/>
        <v>1.27344398340249</v>
      </c>
      <c r="H37" s="5">
        <f t="shared" si="5"/>
        <v>0</v>
      </c>
      <c r="I37" s="62">
        <f t="shared" si="5"/>
        <v>1.3770134808157624</v>
      </c>
      <c r="J37" s="128">
        <f t="shared" si="5"/>
        <v>1.2364485981308406</v>
      </c>
      <c r="K37" s="5">
        <f t="shared" si="5"/>
        <v>1.215128486478351</v>
      </c>
      <c r="L37" s="128">
        <f t="shared" si="5"/>
        <v>1.1605790645879732</v>
      </c>
      <c r="M37" s="5">
        <f aca="true" t="shared" si="6" ref="M37:V37">M17*M16/M36</f>
        <v>0</v>
      </c>
      <c r="N37" s="128">
        <f t="shared" si="6"/>
        <v>1.2887688984881207</v>
      </c>
      <c r="O37" s="5">
        <f t="shared" si="6"/>
        <v>1.3475899005355774</v>
      </c>
      <c r="P37" s="128">
        <f t="shared" si="6"/>
        <v>1.272126960963152</v>
      </c>
      <c r="Q37" s="5">
        <f t="shared" si="6"/>
        <v>0</v>
      </c>
      <c r="R37" s="128">
        <f t="shared" si="6"/>
        <v>1.257142857142857</v>
      </c>
      <c r="S37" s="128">
        <f t="shared" si="6"/>
        <v>1.2913043478260868</v>
      </c>
      <c r="T37" s="243">
        <f t="shared" si="6"/>
        <v>1.2249097472924182</v>
      </c>
      <c r="U37" s="128">
        <f t="shared" si="6"/>
        <v>1.2040540540540536</v>
      </c>
      <c r="V37" s="128">
        <f t="shared" si="6"/>
        <v>0</v>
      </c>
      <c r="W37" s="62">
        <f aca="true" t="shared" si="7" ref="W37:AJ37">W17*W16/W36</f>
        <v>1.489887640449438</v>
      </c>
      <c r="X37" s="128">
        <f t="shared" si="7"/>
        <v>0</v>
      </c>
      <c r="Y37" s="5">
        <f t="shared" si="7"/>
        <v>1.27344398340249</v>
      </c>
      <c r="Z37" s="128">
        <f t="shared" si="7"/>
        <v>1.252595494613124</v>
      </c>
      <c r="AA37" s="5">
        <f t="shared" si="7"/>
        <v>1.309090909090909</v>
      </c>
      <c r="AB37" s="128">
        <f t="shared" si="7"/>
        <v>1.239584951725668</v>
      </c>
      <c r="AC37" s="128">
        <f t="shared" si="7"/>
        <v>1.20188679245283</v>
      </c>
      <c r="AD37" s="243">
        <f t="shared" si="7"/>
        <v>0</v>
      </c>
      <c r="AE37" s="5">
        <f t="shared" si="7"/>
        <v>1.407592190889371</v>
      </c>
      <c r="AF37" s="128">
        <f t="shared" si="7"/>
        <v>1.0771653543307085</v>
      </c>
      <c r="AG37" s="5">
        <f t="shared" si="7"/>
        <v>1.154777070063694</v>
      </c>
      <c r="AH37" s="128">
        <f t="shared" si="7"/>
        <v>1.1445652173913041</v>
      </c>
      <c r="AI37" s="5">
        <f t="shared" si="7"/>
        <v>1.0718963165075035</v>
      </c>
      <c r="AJ37" s="128">
        <f t="shared" si="7"/>
        <v>1.1135380321004884</v>
      </c>
      <c r="AN37" s="12"/>
      <c r="AO37" s="62">
        <f aca="true" t="shared" si="8" ref="AO37:AV37">AO17*AO16/AO36</f>
        <v>1.6589771490750813</v>
      </c>
      <c r="AP37" s="128">
        <f t="shared" si="8"/>
        <v>1.7399999999999998</v>
      </c>
      <c r="AQ37" s="5">
        <f t="shared" si="8"/>
        <v>1.4930807248764413</v>
      </c>
      <c r="AR37" s="128">
        <f t="shared" si="8"/>
        <v>1.7708272859216254</v>
      </c>
      <c r="AS37" s="5">
        <f t="shared" si="8"/>
        <v>1.08</v>
      </c>
      <c r="AT37" s="128">
        <f t="shared" si="8"/>
        <v>1.08</v>
      </c>
      <c r="AU37" s="5">
        <f t="shared" si="8"/>
        <v>1.52586926286509</v>
      </c>
      <c r="AV37" s="128">
        <f t="shared" si="8"/>
        <v>1.5871977602443368</v>
      </c>
      <c r="AW37" s="3"/>
      <c r="AX37" s="3"/>
      <c r="AY37" s="3"/>
      <c r="AZ37" s="3"/>
      <c r="BA37" s="3"/>
      <c r="BB37" s="3"/>
    </row>
    <row r="38" spans="1:54" ht="15.75">
      <c r="A38" s="12"/>
      <c r="B38" s="1" t="s">
        <v>269</v>
      </c>
      <c r="C38" s="141">
        <f aca="true" t="shared" si="9" ref="C38:L38">IF(C16*C17=0,"",100*C40/(C16*C17))</f>
        <v>50.362068965517246</v>
      </c>
      <c r="D38" s="3">
        <f t="shared" si="9"/>
        <v>0</v>
      </c>
      <c r="E38" s="141">
        <f t="shared" si="9"/>
        <v>121.625</v>
      </c>
      <c r="F38" s="3">
        <f t="shared" si="9"/>
        <v>126.39285714285717</v>
      </c>
      <c r="G38" s="141">
        <f t="shared" si="9"/>
        <v>99.38709677419355</v>
      </c>
      <c r="H38" s="3">
        <f t="shared" si="9"/>
      </c>
      <c r="I38" s="61">
        <f t="shared" si="9"/>
        <v>0</v>
      </c>
      <c r="J38" s="141">
        <f t="shared" si="9"/>
        <v>229.50000000000003</v>
      </c>
      <c r="K38" s="3">
        <f t="shared" si="9"/>
        <v>0</v>
      </c>
      <c r="L38" s="141">
        <f t="shared" si="9"/>
        <v>245.13333333333333</v>
      </c>
      <c r="M38" s="3">
        <f aca="true" t="shared" si="10" ref="M38:V38">IF(M16*M17=0,"",100*M40/(M16*M17))</f>
      </c>
      <c r="N38" s="141">
        <f t="shared" si="10"/>
        <v>159.52941176470586</v>
      </c>
      <c r="O38" s="3">
        <f t="shared" si="10"/>
        <v>0</v>
      </c>
      <c r="P38" s="141">
        <f t="shared" si="10"/>
        <v>125.49152542372882</v>
      </c>
      <c r="Q38" s="3">
        <f t="shared" si="10"/>
      </c>
      <c r="R38" s="141">
        <f t="shared" si="10"/>
        <v>125.96875</v>
      </c>
      <c r="S38" s="141">
        <f t="shared" si="10"/>
        <v>0</v>
      </c>
      <c r="T38" s="211">
        <f t="shared" si="10"/>
        <v>171.3793103448276</v>
      </c>
      <c r="U38" s="141">
        <f t="shared" si="10"/>
        <v>109.02777777777777</v>
      </c>
      <c r="V38" s="141">
        <f t="shared" si="10"/>
      </c>
      <c r="W38" s="61">
        <f aca="true" t="shared" si="11" ref="W38:AJ38">IF(W16*W17=0,"",100*W40/(W16*W17))</f>
        <v>138.64705882352942</v>
      </c>
      <c r="X38" s="141">
        <f t="shared" si="11"/>
      </c>
      <c r="Y38" s="3">
        <f t="shared" si="11"/>
        <v>104.03225806451613</v>
      </c>
      <c r="Z38" s="141">
        <f t="shared" si="11"/>
        <v>0</v>
      </c>
      <c r="AA38" s="3">
        <f t="shared" si="11"/>
        <v>0</v>
      </c>
      <c r="AB38" s="141">
        <f t="shared" si="11"/>
        <v>0</v>
      </c>
      <c r="AC38" s="141">
        <f t="shared" si="11"/>
        <v>133.41538461538462</v>
      </c>
      <c r="AD38" s="211">
        <f t="shared" si="11"/>
      </c>
      <c r="AE38" s="3">
        <f t="shared" si="11"/>
        <v>72.28571428571428</v>
      </c>
      <c r="AF38" s="141">
        <f t="shared" si="11"/>
        <v>0</v>
      </c>
      <c r="AG38" s="3">
        <f t="shared" si="11"/>
        <v>99.35135135135135</v>
      </c>
      <c r="AH38" s="141">
        <f t="shared" si="11"/>
        <v>100.61111111111109</v>
      </c>
      <c r="AI38" s="3">
        <f t="shared" si="11"/>
        <v>52.46666666666666</v>
      </c>
      <c r="AJ38" s="141">
        <f t="shared" si="11"/>
        <v>52.46666666666666</v>
      </c>
      <c r="AK38" s="3"/>
      <c r="AL38" s="3"/>
      <c r="AM38" s="3"/>
      <c r="AN38" s="61"/>
      <c r="AO38" s="61">
        <f aca="true" t="shared" si="12" ref="AO38:AV38">IF(AO16*AO17=0,"",100*AO40/(AO16*AO17))</f>
        <v>57.60714285714286</v>
      </c>
      <c r="AP38" s="141">
        <f t="shared" si="12"/>
        <v>56.793103448275865</v>
      </c>
      <c r="AQ38" s="3">
        <f t="shared" si="12"/>
        <v>63.33962264150943</v>
      </c>
      <c r="AR38" s="141">
        <f t="shared" si="12"/>
        <v>57.90017211703959</v>
      </c>
      <c r="AS38" s="3">
        <f t="shared" si="12"/>
        <v>50</v>
      </c>
      <c r="AT38" s="141">
        <f t="shared" si="12"/>
        <v>50</v>
      </c>
      <c r="AU38" s="3">
        <f t="shared" si="12"/>
        <v>58.83018867924528</v>
      </c>
      <c r="AV38" s="141">
        <f t="shared" si="12"/>
        <v>59.28705440900564</v>
      </c>
      <c r="AW38" s="3"/>
      <c r="AX38" s="3"/>
      <c r="AY38" s="3"/>
      <c r="AZ38" s="3"/>
      <c r="BA38" s="3"/>
      <c r="BB38" s="3"/>
    </row>
    <row r="39" spans="1:54" ht="15.75">
      <c r="A39" s="12"/>
      <c r="B39" s="1" t="s">
        <v>270</v>
      </c>
      <c r="C39" s="128">
        <f aca="true" t="shared" si="13" ref="C39:L39">C38*C37</f>
        <v>79.66363636363637</v>
      </c>
      <c r="D39" s="5">
        <f t="shared" si="13"/>
        <v>0</v>
      </c>
      <c r="E39" s="128">
        <f t="shared" si="13"/>
        <v>159.21818181818182</v>
      </c>
      <c r="F39" s="5">
        <f t="shared" si="13"/>
        <v>160.5657407407408</v>
      </c>
      <c r="G39" s="128">
        <f t="shared" si="13"/>
        <v>126.5639004149378</v>
      </c>
      <c r="H39" s="5">
        <f t="shared" si="13"/>
        <v>0</v>
      </c>
      <c r="I39" s="62">
        <f t="shared" si="13"/>
        <v>0</v>
      </c>
      <c r="J39" s="128">
        <f t="shared" si="13"/>
        <v>283.76495327102793</v>
      </c>
      <c r="K39" s="5">
        <f t="shared" si="13"/>
        <v>0</v>
      </c>
      <c r="L39" s="128">
        <f t="shared" si="13"/>
        <v>284.4966146993318</v>
      </c>
      <c r="M39" s="5">
        <f aca="true" t="shared" si="14" ref="M39:V39">M38*M37</f>
        <v>0</v>
      </c>
      <c r="N39" s="128">
        <f t="shared" si="14"/>
        <v>205.59654427645782</v>
      </c>
      <c r="O39" s="5">
        <f t="shared" si="14"/>
        <v>0</v>
      </c>
      <c r="P39" s="128">
        <f t="shared" si="14"/>
        <v>159.64115286391828</v>
      </c>
      <c r="Q39" s="5">
        <f t="shared" si="14"/>
        <v>0</v>
      </c>
      <c r="R39" s="128">
        <f t="shared" si="14"/>
        <v>158.36071428571427</v>
      </c>
      <c r="S39" s="128">
        <f t="shared" si="14"/>
        <v>0</v>
      </c>
      <c r="T39" s="243">
        <f t="shared" si="14"/>
        <v>209.92418772563167</v>
      </c>
      <c r="U39" s="128">
        <f t="shared" si="14"/>
        <v>131.27533783783778</v>
      </c>
      <c r="V39" s="128">
        <f t="shared" si="14"/>
        <v>0</v>
      </c>
      <c r="W39" s="62">
        <f aca="true" t="shared" si="15" ref="W39:AJ39">W38*W37</f>
        <v>206.5685393258427</v>
      </c>
      <c r="X39" s="128">
        <f t="shared" si="15"/>
        <v>0</v>
      </c>
      <c r="Y39" s="5">
        <f t="shared" si="15"/>
        <v>132.47925311203323</v>
      </c>
      <c r="Z39" s="128">
        <f t="shared" si="15"/>
        <v>0</v>
      </c>
      <c r="AA39" s="5">
        <f t="shared" si="15"/>
        <v>0</v>
      </c>
      <c r="AB39" s="128">
        <f t="shared" si="15"/>
        <v>0</v>
      </c>
      <c r="AC39" s="128">
        <f t="shared" si="15"/>
        <v>160.35018867924526</v>
      </c>
      <c r="AD39" s="243">
        <f t="shared" si="15"/>
        <v>0</v>
      </c>
      <c r="AE39" s="5">
        <f t="shared" si="15"/>
        <v>101.74880694143165</v>
      </c>
      <c r="AF39" s="128">
        <f t="shared" si="15"/>
        <v>0</v>
      </c>
      <c r="AG39" s="5">
        <f t="shared" si="15"/>
        <v>114.72866242038214</v>
      </c>
      <c r="AH39" s="128">
        <f t="shared" si="15"/>
        <v>115.15597826086952</v>
      </c>
      <c r="AI39" s="5">
        <f t="shared" si="15"/>
        <v>56.23882673942701</v>
      </c>
      <c r="AJ39" s="128">
        <f t="shared" si="15"/>
        <v>58.42362875087228</v>
      </c>
      <c r="AK39" s="5">
        <f>AK133</f>
        <v>169.79467812321607</v>
      </c>
      <c r="AL39" s="1" t="s">
        <v>271</v>
      </c>
      <c r="AN39" s="12"/>
      <c r="AO39" s="62">
        <f aca="true" t="shared" si="16" ref="AO39:AV39">AO38*AO37</f>
        <v>95.5689336235038</v>
      </c>
      <c r="AP39" s="128">
        <f t="shared" si="16"/>
        <v>98.82</v>
      </c>
      <c r="AQ39" s="5">
        <f t="shared" si="16"/>
        <v>94.57116968698514</v>
      </c>
      <c r="AR39" s="128">
        <f t="shared" si="16"/>
        <v>102.53120464441218</v>
      </c>
      <c r="AS39" s="5">
        <f t="shared" si="16"/>
        <v>54</v>
      </c>
      <c r="AT39" s="128">
        <f t="shared" si="16"/>
        <v>54</v>
      </c>
      <c r="AU39" s="5">
        <f t="shared" si="16"/>
        <v>89.76717663421417</v>
      </c>
      <c r="AV39" s="128">
        <f t="shared" si="16"/>
        <v>94.10027996945789</v>
      </c>
      <c r="AW39" s="244">
        <f>AW133</f>
        <v>93.88850869579845</v>
      </c>
      <c r="AX39" s="181" t="s">
        <v>272</v>
      </c>
      <c r="AY39" s="3"/>
      <c r="AZ39" s="3"/>
      <c r="BA39" s="3"/>
      <c r="BB39" s="3"/>
    </row>
    <row r="40" spans="1:54" ht="15.75">
      <c r="A40" s="12"/>
      <c r="B40" s="1" t="s">
        <v>273</v>
      </c>
      <c r="C40" s="128">
        <f aca="true" t="shared" si="17" ref="C40:L40">IF(C21=0,C19,C21*C16)</f>
        <v>35.052</v>
      </c>
      <c r="D40" s="5">
        <f t="shared" si="17"/>
        <v>0</v>
      </c>
      <c r="E40" s="128">
        <f t="shared" si="17"/>
        <v>38.92</v>
      </c>
      <c r="F40" s="5">
        <f t="shared" si="17"/>
        <v>34.6822</v>
      </c>
      <c r="G40" s="128">
        <f t="shared" si="17"/>
        <v>30.5019</v>
      </c>
      <c r="H40" s="5">
        <f t="shared" si="17"/>
        <v>0</v>
      </c>
      <c r="I40" s="62">
        <f t="shared" si="17"/>
        <v>0</v>
      </c>
      <c r="J40" s="128">
        <f t="shared" si="17"/>
        <v>67.473</v>
      </c>
      <c r="K40" s="5">
        <f t="shared" si="17"/>
        <v>0</v>
      </c>
      <c r="L40" s="128">
        <f t="shared" si="17"/>
        <v>70.9661</v>
      </c>
      <c r="M40" s="5">
        <f aca="true" t="shared" si="18" ref="M40:V40">IF(M21=0,M19,M21*M16)</f>
        <v>0</v>
      </c>
      <c r="N40" s="128">
        <f t="shared" si="18"/>
        <v>39.663</v>
      </c>
      <c r="O40" s="5">
        <f t="shared" si="18"/>
        <v>0</v>
      </c>
      <c r="P40" s="128">
        <f t="shared" si="18"/>
        <v>36.4647</v>
      </c>
      <c r="Q40" s="5">
        <f t="shared" si="18"/>
        <v>0</v>
      </c>
      <c r="R40" s="128">
        <f t="shared" si="18"/>
        <v>39.9069</v>
      </c>
      <c r="S40" s="128">
        <f t="shared" si="18"/>
        <v>0</v>
      </c>
      <c r="T40" s="243">
        <f t="shared" si="18"/>
        <v>48.4575</v>
      </c>
      <c r="U40" s="128">
        <f t="shared" si="18"/>
        <v>38.8575</v>
      </c>
      <c r="V40" s="128">
        <f t="shared" si="18"/>
        <v>0</v>
      </c>
      <c r="W40" s="62">
        <f aca="true" t="shared" si="19" ref="W40:AJ40">IF(W21=0,W19,W21*W16)</f>
        <v>49.025600000000004</v>
      </c>
      <c r="X40" s="128">
        <f t="shared" si="19"/>
        <v>0</v>
      </c>
      <c r="Y40" s="5">
        <f t="shared" si="19"/>
        <v>31.9275</v>
      </c>
      <c r="Z40" s="128">
        <f t="shared" si="19"/>
        <v>0</v>
      </c>
      <c r="AA40" s="5">
        <f t="shared" si="19"/>
        <v>0</v>
      </c>
      <c r="AB40" s="128">
        <f t="shared" si="19"/>
        <v>0</v>
      </c>
      <c r="AC40" s="128">
        <f t="shared" si="19"/>
        <v>42.492799999999995</v>
      </c>
      <c r="AD40" s="243">
        <f t="shared" si="19"/>
        <v>0</v>
      </c>
      <c r="AE40" s="5">
        <f t="shared" si="19"/>
        <v>26.059</v>
      </c>
      <c r="AF40" s="128">
        <f t="shared" si="19"/>
        <v>0</v>
      </c>
      <c r="AG40" s="5">
        <f t="shared" si="19"/>
        <v>36.0248</v>
      </c>
      <c r="AH40" s="128">
        <f t="shared" si="19"/>
        <v>35.314499999999995</v>
      </c>
      <c r="AI40" s="5">
        <f t="shared" si="19"/>
        <v>22.901699999999998</v>
      </c>
      <c r="AJ40" s="128">
        <f t="shared" si="19"/>
        <v>23.25585</v>
      </c>
      <c r="AK40" s="5">
        <f>AK134</f>
        <v>57.582479976465855</v>
      </c>
      <c r="AL40" s="1" t="s">
        <v>274</v>
      </c>
      <c r="AN40" s="12"/>
      <c r="AO40" s="62">
        <f aca="true" t="shared" si="20" ref="AO40:AV40">IF(AO21=0,AO19,AO21*AO16)</f>
        <v>39.0346</v>
      </c>
      <c r="AP40" s="128">
        <f t="shared" si="20"/>
        <v>41.175</v>
      </c>
      <c r="AQ40" s="5">
        <f t="shared" si="20"/>
        <v>38.2698</v>
      </c>
      <c r="AR40" s="128">
        <f t="shared" si="20"/>
        <v>42.3864</v>
      </c>
      <c r="AS40" s="5">
        <f t="shared" si="20"/>
        <v>30</v>
      </c>
      <c r="AT40" s="128">
        <f t="shared" si="20"/>
        <v>30</v>
      </c>
      <c r="AU40" s="5">
        <f t="shared" si="20"/>
        <v>35.857</v>
      </c>
      <c r="AV40" s="128">
        <f t="shared" si="20"/>
        <v>36.972</v>
      </c>
      <c r="AW40" s="3"/>
      <c r="AX40" s="3"/>
      <c r="AY40" s="3"/>
      <c r="AZ40" s="3"/>
      <c r="BA40" s="3"/>
      <c r="BB40" s="3"/>
    </row>
    <row r="41" spans="1:54" ht="15.75">
      <c r="A41" s="59" t="s">
        <v>275</v>
      </c>
      <c r="B41" s="15"/>
      <c r="C41" s="212"/>
      <c r="D41" s="15"/>
      <c r="E41" s="212"/>
      <c r="F41" s="15"/>
      <c r="G41" s="212"/>
      <c r="H41" s="15"/>
      <c r="I41" s="14"/>
      <c r="J41" s="212"/>
      <c r="K41" s="15"/>
      <c r="L41" s="212"/>
      <c r="M41" s="15"/>
      <c r="N41" s="212"/>
      <c r="O41" s="15"/>
      <c r="P41" s="212"/>
      <c r="Q41" s="15"/>
      <c r="R41" s="212"/>
      <c r="S41" s="212"/>
      <c r="T41" s="16"/>
      <c r="U41" s="212"/>
      <c r="V41" s="212"/>
      <c r="W41" s="14"/>
      <c r="X41" s="212"/>
      <c r="Y41" s="15"/>
      <c r="Z41" s="212"/>
      <c r="AA41" s="15"/>
      <c r="AB41" s="212"/>
      <c r="AC41" s="212"/>
      <c r="AD41" s="16"/>
      <c r="AE41" s="15"/>
      <c r="AF41" s="212"/>
      <c r="AG41" s="15"/>
      <c r="AH41" s="212"/>
      <c r="AI41" s="15"/>
      <c r="AJ41" s="212"/>
      <c r="AN41" s="12"/>
      <c r="AO41" s="14"/>
      <c r="AP41" s="212"/>
      <c r="AQ41" s="15"/>
      <c r="AR41" s="212"/>
      <c r="AS41" s="15"/>
      <c r="AT41" s="212"/>
      <c r="AU41" s="15"/>
      <c r="AV41" s="212"/>
      <c r="AW41" s="3"/>
      <c r="AX41" s="3"/>
      <c r="AY41" s="3"/>
      <c r="AZ41" s="3"/>
      <c r="BA41" s="3"/>
      <c r="BB41" s="3"/>
    </row>
    <row r="42" spans="1:54" ht="15.75">
      <c r="A42" s="12"/>
      <c r="B42" s="1" t="s">
        <v>276</v>
      </c>
      <c r="C42" s="128">
        <f aca="true" t="shared" si="21" ref="C42:L42">IF(C25=0,C24,C25*C16/C26)</f>
        <v>11.11111111111111</v>
      </c>
      <c r="D42" s="5">
        <f t="shared" si="21"/>
        <v>12.65625</v>
      </c>
      <c r="E42" s="128">
        <f t="shared" si="21"/>
        <v>27.491408934707906</v>
      </c>
      <c r="F42" s="5">
        <f t="shared" si="21"/>
        <v>28.128587830080367</v>
      </c>
      <c r="G42" s="128">
        <f t="shared" si="21"/>
        <v>44.22680412371134</v>
      </c>
      <c r="H42" s="5">
        <f t="shared" si="21"/>
        <v>0</v>
      </c>
      <c r="I42" s="62">
        <f t="shared" si="21"/>
        <v>11.291666666666668</v>
      </c>
      <c r="J42" s="128">
        <f t="shared" si="21"/>
        <v>42.56</v>
      </c>
      <c r="K42" s="5">
        <f t="shared" si="21"/>
        <v>30.14742857142857</v>
      </c>
      <c r="L42" s="128">
        <f t="shared" si="21"/>
        <v>40.80571428571428</v>
      </c>
      <c r="M42" s="5">
        <f aca="true" t="shared" si="22" ref="M42:V42">IF(M25=0,M24,M25*M16/M26)</f>
        <v>0</v>
      </c>
      <c r="N42" s="128">
        <f t="shared" si="22"/>
        <v>29.104477611940297</v>
      </c>
      <c r="O42" s="5">
        <f t="shared" si="22"/>
        <v>53.214695752009185</v>
      </c>
      <c r="P42" s="128">
        <f t="shared" si="22"/>
        <v>47.388316151202744</v>
      </c>
      <c r="Q42" s="5">
        <f t="shared" si="22"/>
        <v>0</v>
      </c>
      <c r="R42" s="128">
        <f t="shared" si="22"/>
        <v>38.46857142857142</v>
      </c>
      <c r="S42" s="128">
        <f t="shared" si="22"/>
        <v>44.67353951890034</v>
      </c>
      <c r="T42" s="243">
        <f t="shared" si="22"/>
        <v>46.8</v>
      </c>
      <c r="U42" s="128">
        <f t="shared" si="22"/>
        <v>40.91848450057405</v>
      </c>
      <c r="V42" s="128">
        <f t="shared" si="22"/>
        <v>0</v>
      </c>
      <c r="W42" s="62">
        <f aca="true" t="shared" si="23" ref="W42:AJ42">IF(W25=0,W24,W25*W16/W26)</f>
        <v>51.34328358208955</v>
      </c>
      <c r="X42" s="128">
        <f t="shared" si="23"/>
        <v>0</v>
      </c>
      <c r="Y42" s="5">
        <f t="shared" si="23"/>
        <v>38.55670103092783</v>
      </c>
      <c r="Z42" s="128">
        <f t="shared" si="23"/>
        <v>28.128587830080367</v>
      </c>
      <c r="AA42" s="5">
        <f t="shared" si="23"/>
        <v>33.21878579610539</v>
      </c>
      <c r="AB42" s="128">
        <f t="shared" si="23"/>
        <v>28.272101033295062</v>
      </c>
      <c r="AC42" s="128">
        <f t="shared" si="23"/>
        <v>39.199999999999996</v>
      </c>
      <c r="AD42" s="243">
        <f t="shared" si="23"/>
        <v>0</v>
      </c>
      <c r="AE42" s="5">
        <f t="shared" si="23"/>
        <v>52.03214695752009</v>
      </c>
      <c r="AF42" s="128">
        <f t="shared" si="23"/>
        <v>21.86421173762946</v>
      </c>
      <c r="AG42" s="5">
        <f t="shared" si="23"/>
        <v>25.878300803673937</v>
      </c>
      <c r="AH42" s="128" t="str">
        <f t="shared" si="23"/>
        <v> </v>
      </c>
      <c r="AI42" s="5">
        <f t="shared" si="23"/>
        <v>14.594907407407407</v>
      </c>
      <c r="AJ42" s="128">
        <f t="shared" si="23"/>
        <v>18.24074074074074</v>
      </c>
      <c r="AN42" s="12"/>
      <c r="AO42" s="62">
        <f aca="true" t="shared" si="24" ref="AO42:AV42">IF(AO25=0,AO24,AO25*AO16/AO26)</f>
        <v>15.281285878300801</v>
      </c>
      <c r="AP42" s="128">
        <f t="shared" si="24"/>
        <v>14.17233560090703</v>
      </c>
      <c r="AQ42" s="5">
        <f t="shared" si="24"/>
        <v>14.397244546498277</v>
      </c>
      <c r="AR42" s="128">
        <f t="shared" si="24"/>
        <v>12.857142857142858</v>
      </c>
      <c r="AS42" s="5">
        <f t="shared" si="24"/>
        <v>0</v>
      </c>
      <c r="AT42" s="128">
        <f t="shared" si="24"/>
        <v>0</v>
      </c>
      <c r="AU42" s="5">
        <f t="shared" si="24"/>
        <v>17.16417910447761</v>
      </c>
      <c r="AV42" s="128">
        <f t="shared" si="24"/>
        <v>13.265306122448978</v>
      </c>
      <c r="AW42" s="3"/>
      <c r="AX42" s="3"/>
      <c r="AY42" s="3"/>
      <c r="AZ42" s="3"/>
      <c r="BA42" s="3"/>
      <c r="BB42" s="3"/>
    </row>
    <row r="43" spans="1:54" ht="15.75">
      <c r="A43" s="12"/>
      <c r="B43" s="1" t="s">
        <v>277</v>
      </c>
      <c r="C43" s="128">
        <f aca="true" t="shared" si="25" ref="C43:L43">IF(C24=0,C25,C24*C26/C16)</f>
        <v>8</v>
      </c>
      <c r="D43" s="5">
        <f t="shared" si="25"/>
        <v>9</v>
      </c>
      <c r="E43" s="128">
        <f t="shared" si="25"/>
        <v>24</v>
      </c>
      <c r="F43" s="5">
        <f t="shared" si="25"/>
        <v>25</v>
      </c>
      <c r="G43" s="128">
        <f t="shared" si="25"/>
        <v>39</v>
      </c>
      <c r="H43" s="5">
        <f t="shared" si="25"/>
        <v>14</v>
      </c>
      <c r="I43" s="62">
        <f t="shared" si="25"/>
        <v>9</v>
      </c>
      <c r="J43" s="128">
        <f t="shared" si="25"/>
        <v>38</v>
      </c>
      <c r="K43" s="5">
        <f t="shared" si="25"/>
        <v>27</v>
      </c>
      <c r="L43" s="128">
        <f t="shared" si="25"/>
        <v>37</v>
      </c>
      <c r="M43" s="5">
        <f aca="true" t="shared" si="26" ref="M43:V43">IF(M24=0,M25,M24*M26/M16)</f>
        <v>41</v>
      </c>
      <c r="N43" s="128">
        <f t="shared" si="26"/>
        <v>26</v>
      </c>
      <c r="O43" s="5">
        <f t="shared" si="26"/>
        <v>45</v>
      </c>
      <c r="P43" s="128">
        <f t="shared" si="26"/>
        <v>42</v>
      </c>
      <c r="Q43" s="5">
        <f t="shared" si="26"/>
        <v>41</v>
      </c>
      <c r="R43" s="128">
        <f t="shared" si="26"/>
        <v>34</v>
      </c>
      <c r="S43" s="128">
        <f t="shared" si="26"/>
        <v>39</v>
      </c>
      <c r="T43" s="243">
        <f t="shared" si="26"/>
        <v>42</v>
      </c>
      <c r="U43" s="128">
        <f t="shared" si="26"/>
        <v>36</v>
      </c>
      <c r="V43" s="128">
        <f t="shared" si="26"/>
        <v>23</v>
      </c>
      <c r="W43" s="62">
        <f aca="true" t="shared" si="27" ref="W43:AJ43">IF(W24=0,W25,W24*W26/W16)</f>
        <v>43</v>
      </c>
      <c r="X43" s="128">
        <f t="shared" si="27"/>
        <v>13</v>
      </c>
      <c r="Y43" s="5">
        <f t="shared" si="27"/>
        <v>34</v>
      </c>
      <c r="Z43" s="128">
        <f t="shared" si="27"/>
        <v>25</v>
      </c>
      <c r="AA43" s="5">
        <f t="shared" si="27"/>
        <v>29</v>
      </c>
      <c r="AB43" s="128">
        <f t="shared" si="27"/>
        <v>25</v>
      </c>
      <c r="AC43" s="128">
        <f t="shared" si="27"/>
        <v>35</v>
      </c>
      <c r="AD43" s="243">
        <f t="shared" si="27"/>
        <v>34</v>
      </c>
      <c r="AE43" s="5">
        <f t="shared" si="27"/>
        <v>44</v>
      </c>
      <c r="AF43" s="128">
        <f t="shared" si="27"/>
        <v>20</v>
      </c>
      <c r="AG43" s="5">
        <f t="shared" si="27"/>
        <v>23</v>
      </c>
      <c r="AH43" s="128">
        <f t="shared" si="27"/>
        <v>0</v>
      </c>
      <c r="AI43" s="5">
        <f t="shared" si="27"/>
        <v>13</v>
      </c>
      <c r="AJ43" s="128">
        <f t="shared" si="27"/>
        <v>16</v>
      </c>
      <c r="AN43" s="12"/>
      <c r="AO43" s="62">
        <f aca="true" t="shared" si="28" ref="AO43:AV43">IF(AO24=0,AO25,AO24*AO26/AO16)</f>
        <v>11</v>
      </c>
      <c r="AP43" s="128">
        <f t="shared" si="28"/>
        <v>10</v>
      </c>
      <c r="AQ43" s="5">
        <f t="shared" si="28"/>
        <v>11</v>
      </c>
      <c r="AR43" s="128">
        <f t="shared" si="28"/>
        <v>9</v>
      </c>
      <c r="AS43" s="5">
        <f t="shared" si="28"/>
        <v>0</v>
      </c>
      <c r="AT43" s="128">
        <f t="shared" si="28"/>
        <v>0</v>
      </c>
      <c r="AU43" s="5">
        <f t="shared" si="28"/>
        <v>13</v>
      </c>
      <c r="AV43" s="128">
        <f t="shared" si="28"/>
        <v>10</v>
      </c>
      <c r="AW43" s="3"/>
      <c r="AX43" s="3"/>
      <c r="AY43" s="3"/>
      <c r="AZ43" s="3"/>
      <c r="BA43" s="3"/>
      <c r="BB43" s="3"/>
    </row>
    <row r="44" spans="1:54" ht="15.75">
      <c r="A44" s="12"/>
      <c r="B44" s="1" t="s">
        <v>278</v>
      </c>
      <c r="C44" s="128">
        <f aca="true" t="shared" si="29" ref="C44:L44">IF(C28=0,C27,C28*C26)</f>
        <v>3.076</v>
      </c>
      <c r="D44" s="5">
        <f t="shared" si="29"/>
        <v>3.076</v>
      </c>
      <c r="E44" s="128">
        <f t="shared" si="29"/>
        <v>5.547</v>
      </c>
      <c r="F44" s="5">
        <f t="shared" si="29"/>
        <v>5.049</v>
      </c>
      <c r="G44" s="128">
        <f t="shared" si="29"/>
        <v>5.547</v>
      </c>
      <c r="H44" s="5">
        <f t="shared" si="29"/>
        <v>3.274</v>
      </c>
      <c r="I44" s="62">
        <f t="shared" si="29"/>
        <v>3.076</v>
      </c>
      <c r="J44" s="128">
        <f t="shared" si="29"/>
        <v>6.048</v>
      </c>
      <c r="K44" s="5">
        <f t="shared" si="29"/>
        <v>6.048</v>
      </c>
      <c r="L44" s="128">
        <f t="shared" si="29"/>
        <v>6.048</v>
      </c>
      <c r="M44" s="5">
        <f aca="true" t="shared" si="30" ref="M44:V44">IF(M28=0,M27,M28*M26)</f>
        <v>5.547</v>
      </c>
      <c r="N44" s="128">
        <f t="shared" si="30"/>
        <v>5.049</v>
      </c>
      <c r="O44" s="5">
        <f t="shared" si="30"/>
        <v>3.683</v>
      </c>
      <c r="P44" s="128">
        <f t="shared" si="30"/>
        <v>5.547</v>
      </c>
      <c r="Q44" s="5">
        <f t="shared" si="30"/>
        <v>5.398</v>
      </c>
      <c r="R44" s="128">
        <f t="shared" si="30"/>
        <v>6.048</v>
      </c>
      <c r="S44" s="128">
        <f t="shared" si="30"/>
        <v>3.969</v>
      </c>
      <c r="T44" s="243">
        <f t="shared" si="30"/>
        <v>6.048</v>
      </c>
      <c r="U44" s="128">
        <f t="shared" si="30"/>
        <v>5.049</v>
      </c>
      <c r="V44" s="128">
        <f t="shared" si="30"/>
        <v>4.404</v>
      </c>
      <c r="W44" s="62">
        <f aca="true" t="shared" si="31" ref="W44:AJ44">IF(W28=0,W27,W28*W26)</f>
        <v>5.049</v>
      </c>
      <c r="X44" s="128">
        <f t="shared" si="31"/>
        <v>6.048</v>
      </c>
      <c r="Y44" s="5">
        <f t="shared" si="31"/>
        <v>5.547</v>
      </c>
      <c r="Z44" s="128">
        <f t="shared" si="31"/>
        <v>3.683</v>
      </c>
      <c r="AA44" s="5">
        <f t="shared" si="31"/>
        <v>3.969</v>
      </c>
      <c r="AB44" s="128">
        <f t="shared" si="31"/>
        <v>3.683</v>
      </c>
      <c r="AC44" s="128">
        <f t="shared" si="31"/>
        <v>6.048</v>
      </c>
      <c r="AD44" s="243">
        <f t="shared" si="31"/>
        <v>3.912</v>
      </c>
      <c r="AE44" s="5">
        <f t="shared" si="31"/>
        <v>5.049</v>
      </c>
      <c r="AF44" s="128">
        <f t="shared" si="31"/>
        <v>3.385</v>
      </c>
      <c r="AG44" s="5">
        <f t="shared" si="31"/>
        <v>3.912</v>
      </c>
      <c r="AH44" s="128">
        <f t="shared" si="31"/>
        <v>1</v>
      </c>
      <c r="AI44" s="5">
        <f t="shared" si="31"/>
        <v>3.076</v>
      </c>
      <c r="AJ44" s="128">
        <f t="shared" si="31"/>
        <v>3.076</v>
      </c>
      <c r="AN44" s="12"/>
      <c r="AO44" s="62">
        <f aca="true" t="shared" si="32" ref="AO44:AV44">IF(AO28=0,AO27,AO28*AO26)</f>
        <v>5.049</v>
      </c>
      <c r="AP44" s="128">
        <f t="shared" si="32"/>
        <v>5.398</v>
      </c>
      <c r="AQ44" s="5">
        <f t="shared" si="32"/>
        <v>5.049</v>
      </c>
      <c r="AR44" s="128">
        <f t="shared" si="32"/>
        <v>5.398</v>
      </c>
      <c r="AS44" s="5">
        <f t="shared" si="32"/>
        <v>0</v>
      </c>
      <c r="AT44" s="128">
        <f t="shared" si="32"/>
        <v>0</v>
      </c>
      <c r="AU44" s="5">
        <f t="shared" si="32"/>
        <v>5.049</v>
      </c>
      <c r="AV44" s="128">
        <f t="shared" si="32"/>
        <v>5.398</v>
      </c>
      <c r="AW44" s="3"/>
      <c r="AX44" s="3"/>
      <c r="AY44" s="3"/>
      <c r="AZ44" s="3"/>
      <c r="BA44" s="3"/>
      <c r="BB44" s="3"/>
    </row>
    <row r="45" spans="1:54" ht="15.75">
      <c r="A45" s="12"/>
      <c r="B45" s="1" t="s">
        <v>279</v>
      </c>
      <c r="C45" s="128">
        <f aca="true" t="shared" si="33" ref="C45:L45">IF(C31=0,C30,C31*C16/C32)</f>
        <v>0</v>
      </c>
      <c r="D45" s="5">
        <f t="shared" si="33"/>
        <v>0</v>
      </c>
      <c r="E45" s="128">
        <f t="shared" si="33"/>
        <v>0</v>
      </c>
      <c r="F45" s="5">
        <f t="shared" si="33"/>
        <v>0</v>
      </c>
      <c r="G45" s="128">
        <f t="shared" si="33"/>
        <v>0</v>
      </c>
      <c r="H45" s="5">
        <f t="shared" si="33"/>
        <v>0</v>
      </c>
      <c r="I45" s="62">
        <f t="shared" si="33"/>
        <v>0</v>
      </c>
      <c r="J45" s="128">
        <f t="shared" si="33"/>
        <v>0</v>
      </c>
      <c r="K45" s="5">
        <f t="shared" si="33"/>
        <v>0</v>
      </c>
      <c r="L45" s="128">
        <f t="shared" si="33"/>
        <v>0</v>
      </c>
      <c r="M45" s="5">
        <f aca="true" t="shared" si="34" ref="M45:V45">IF(M31=0,M30,M31*M16/M32)</f>
        <v>0</v>
      </c>
      <c r="N45" s="128">
        <f t="shared" si="34"/>
        <v>0</v>
      </c>
      <c r="O45" s="5">
        <f t="shared" si="34"/>
        <v>0</v>
      </c>
      <c r="P45" s="128">
        <f t="shared" si="34"/>
        <v>0</v>
      </c>
      <c r="Q45" s="5">
        <f t="shared" si="34"/>
        <v>0</v>
      </c>
      <c r="R45" s="128">
        <f t="shared" si="34"/>
        <v>0</v>
      </c>
      <c r="S45" s="128">
        <f t="shared" si="34"/>
        <v>0</v>
      </c>
      <c r="T45" s="243">
        <f t="shared" si="34"/>
        <v>0</v>
      </c>
      <c r="U45" s="128">
        <f t="shared" si="34"/>
        <v>0</v>
      </c>
      <c r="V45" s="128">
        <f t="shared" si="34"/>
        <v>0</v>
      </c>
      <c r="W45" s="62">
        <f aca="true" t="shared" si="35" ref="W45:AJ45">IF(W31=0,W30,W31*W16/W32)</f>
        <v>0</v>
      </c>
      <c r="X45" s="128">
        <f t="shared" si="35"/>
        <v>0</v>
      </c>
      <c r="Y45" s="5">
        <f t="shared" si="35"/>
        <v>0</v>
      </c>
      <c r="Z45" s="128">
        <f t="shared" si="35"/>
        <v>0</v>
      </c>
      <c r="AA45" s="5">
        <f t="shared" si="35"/>
        <v>0</v>
      </c>
      <c r="AB45" s="128">
        <f t="shared" si="35"/>
        <v>0</v>
      </c>
      <c r="AC45" s="128">
        <f t="shared" si="35"/>
        <v>0</v>
      </c>
      <c r="AD45" s="243">
        <f t="shared" si="35"/>
        <v>0</v>
      </c>
      <c r="AE45" s="5">
        <f t="shared" si="35"/>
        <v>0</v>
      </c>
      <c r="AF45" s="128">
        <f t="shared" si="35"/>
        <v>0</v>
      </c>
      <c r="AG45" s="5">
        <f t="shared" si="35"/>
        <v>0</v>
      </c>
      <c r="AH45" s="128">
        <f t="shared" si="35"/>
        <v>0</v>
      </c>
      <c r="AI45" s="5">
        <f t="shared" si="35"/>
        <v>0</v>
      </c>
      <c r="AJ45" s="128">
        <f t="shared" si="35"/>
        <v>0</v>
      </c>
      <c r="AN45" s="12"/>
      <c r="AO45" s="62">
        <f aca="true" t="shared" si="36" ref="AO45:AV45">IF(AO31=0,AO30,AO31*AO16/AO32)</f>
        <v>0</v>
      </c>
      <c r="AP45" s="128">
        <f t="shared" si="36"/>
        <v>0</v>
      </c>
      <c r="AQ45" s="5">
        <f t="shared" si="36"/>
        <v>0</v>
      </c>
      <c r="AR45" s="128">
        <f t="shared" si="36"/>
        <v>0</v>
      </c>
      <c r="AS45" s="5">
        <f t="shared" si="36"/>
        <v>0</v>
      </c>
      <c r="AT45" s="128">
        <f t="shared" si="36"/>
        <v>0</v>
      </c>
      <c r="AU45" s="5">
        <f t="shared" si="36"/>
        <v>0</v>
      </c>
      <c r="AV45" s="128">
        <f t="shared" si="36"/>
        <v>0</v>
      </c>
      <c r="AW45" s="3"/>
      <c r="AX45" s="3"/>
      <c r="AY45" s="3"/>
      <c r="AZ45" s="3"/>
      <c r="BA45" s="3"/>
      <c r="BB45" s="3"/>
    </row>
    <row r="46" spans="1:54" ht="15.75">
      <c r="A46" s="12"/>
      <c r="B46" s="1" t="s">
        <v>280</v>
      </c>
      <c r="C46" s="128">
        <f aca="true" t="shared" si="37" ref="C46:L46">IF(C30=0,C31,C30*C32/C16)</f>
        <v>0</v>
      </c>
      <c r="D46" s="5">
        <f t="shared" si="37"/>
        <v>0</v>
      </c>
      <c r="E46" s="128">
        <f t="shared" si="37"/>
        <v>0</v>
      </c>
      <c r="F46" s="5">
        <f t="shared" si="37"/>
        <v>0</v>
      </c>
      <c r="G46" s="128">
        <f t="shared" si="37"/>
        <v>0</v>
      </c>
      <c r="H46" s="5">
        <f t="shared" si="37"/>
        <v>0</v>
      </c>
      <c r="I46" s="62">
        <f t="shared" si="37"/>
        <v>0</v>
      </c>
      <c r="J46" s="128">
        <f t="shared" si="37"/>
        <v>0</v>
      </c>
      <c r="K46" s="5">
        <f t="shared" si="37"/>
        <v>0</v>
      </c>
      <c r="L46" s="128">
        <f t="shared" si="37"/>
        <v>0</v>
      </c>
      <c r="M46" s="5">
        <f aca="true" t="shared" si="38" ref="M46:V46">IF(M30=0,M31,M30*M32/M16)</f>
        <v>0</v>
      </c>
      <c r="N46" s="128">
        <f t="shared" si="38"/>
        <v>0</v>
      </c>
      <c r="O46" s="5">
        <f t="shared" si="38"/>
        <v>0</v>
      </c>
      <c r="P46" s="128">
        <f t="shared" si="38"/>
        <v>0</v>
      </c>
      <c r="Q46" s="5">
        <f t="shared" si="38"/>
        <v>0</v>
      </c>
      <c r="R46" s="128">
        <f t="shared" si="38"/>
        <v>0</v>
      </c>
      <c r="S46" s="128">
        <f t="shared" si="38"/>
        <v>0</v>
      </c>
      <c r="T46" s="243">
        <f t="shared" si="38"/>
        <v>0</v>
      </c>
      <c r="U46" s="128">
        <f t="shared" si="38"/>
        <v>0</v>
      </c>
      <c r="V46" s="128">
        <f t="shared" si="38"/>
        <v>0</v>
      </c>
      <c r="W46" s="62">
        <f aca="true" t="shared" si="39" ref="W46:AJ46">IF(W30=0,W31,W30*W32/W16)</f>
        <v>0</v>
      </c>
      <c r="X46" s="128">
        <f t="shared" si="39"/>
        <v>0</v>
      </c>
      <c r="Y46" s="5">
        <f t="shared" si="39"/>
        <v>0</v>
      </c>
      <c r="Z46" s="128">
        <f t="shared" si="39"/>
        <v>0</v>
      </c>
      <c r="AA46" s="5">
        <f t="shared" si="39"/>
        <v>0</v>
      </c>
      <c r="AB46" s="128">
        <f t="shared" si="39"/>
        <v>0</v>
      </c>
      <c r="AC46" s="128">
        <f t="shared" si="39"/>
        <v>0</v>
      </c>
      <c r="AD46" s="243">
        <f t="shared" si="39"/>
        <v>0</v>
      </c>
      <c r="AE46" s="5">
        <f t="shared" si="39"/>
        <v>0</v>
      </c>
      <c r="AF46" s="128">
        <f t="shared" si="39"/>
        <v>0</v>
      </c>
      <c r="AG46" s="5">
        <f t="shared" si="39"/>
        <v>0</v>
      </c>
      <c r="AH46" s="128">
        <f t="shared" si="39"/>
        <v>0</v>
      </c>
      <c r="AI46" s="5">
        <f t="shared" si="39"/>
        <v>0</v>
      </c>
      <c r="AJ46" s="128">
        <f t="shared" si="39"/>
        <v>0</v>
      </c>
      <c r="AN46" s="12"/>
      <c r="AO46" s="62">
        <f aca="true" t="shared" si="40" ref="AO46:AV46">IF(AO30=0,AO31,AO30*AO32/AO16)</f>
        <v>0</v>
      </c>
      <c r="AP46" s="128">
        <f t="shared" si="40"/>
        <v>0</v>
      </c>
      <c r="AQ46" s="5">
        <f t="shared" si="40"/>
        <v>0</v>
      </c>
      <c r="AR46" s="128">
        <f t="shared" si="40"/>
        <v>0</v>
      </c>
      <c r="AS46" s="5">
        <f t="shared" si="40"/>
        <v>0</v>
      </c>
      <c r="AT46" s="128">
        <f t="shared" si="40"/>
        <v>0</v>
      </c>
      <c r="AU46" s="5">
        <f t="shared" si="40"/>
        <v>0</v>
      </c>
      <c r="AV46" s="128">
        <f t="shared" si="40"/>
        <v>0</v>
      </c>
      <c r="AW46" s="3"/>
      <c r="AX46" s="3"/>
      <c r="AY46" s="3"/>
      <c r="AZ46" s="3"/>
      <c r="BA46" s="3"/>
      <c r="BB46" s="3"/>
    </row>
    <row r="47" spans="1:54" ht="15.75">
      <c r="A47" s="12"/>
      <c r="B47" s="1" t="s">
        <v>281</v>
      </c>
      <c r="C47" s="128">
        <f aca="true" t="shared" si="41" ref="C47:L47">IF(C34=0,C33,C34*C32)</f>
        <v>0</v>
      </c>
      <c r="D47" s="5">
        <f t="shared" si="41"/>
        <v>0</v>
      </c>
      <c r="E47" s="128">
        <f t="shared" si="41"/>
        <v>0</v>
      </c>
      <c r="F47" s="5">
        <f t="shared" si="41"/>
        <v>0</v>
      </c>
      <c r="G47" s="128">
        <f t="shared" si="41"/>
        <v>0</v>
      </c>
      <c r="H47" s="5">
        <f t="shared" si="41"/>
        <v>0</v>
      </c>
      <c r="I47" s="62">
        <f t="shared" si="41"/>
        <v>0</v>
      </c>
      <c r="J47" s="128">
        <f t="shared" si="41"/>
        <v>0</v>
      </c>
      <c r="K47" s="5">
        <f t="shared" si="41"/>
        <v>0</v>
      </c>
      <c r="L47" s="128">
        <f t="shared" si="41"/>
        <v>0</v>
      </c>
      <c r="M47" s="5">
        <f aca="true" t="shared" si="42" ref="M47:V47">IF(M34=0,M33,M34*M32)</f>
        <v>0</v>
      </c>
      <c r="N47" s="128">
        <f t="shared" si="42"/>
        <v>0</v>
      </c>
      <c r="O47" s="5">
        <f t="shared" si="42"/>
        <v>0</v>
      </c>
      <c r="P47" s="128">
        <f t="shared" si="42"/>
        <v>0</v>
      </c>
      <c r="Q47" s="5">
        <f t="shared" si="42"/>
        <v>0</v>
      </c>
      <c r="R47" s="128">
        <f t="shared" si="42"/>
        <v>0</v>
      </c>
      <c r="S47" s="128">
        <f t="shared" si="42"/>
        <v>0</v>
      </c>
      <c r="T47" s="243">
        <f t="shared" si="42"/>
        <v>0</v>
      </c>
      <c r="U47" s="128">
        <f t="shared" si="42"/>
        <v>0</v>
      </c>
      <c r="V47" s="128">
        <f t="shared" si="42"/>
        <v>0</v>
      </c>
      <c r="W47" s="62">
        <f aca="true" t="shared" si="43" ref="W47:AJ47">IF(W34=0,W33,W34*W32)</f>
        <v>0</v>
      </c>
      <c r="X47" s="128">
        <f t="shared" si="43"/>
        <v>0</v>
      </c>
      <c r="Y47" s="5">
        <f t="shared" si="43"/>
        <v>0</v>
      </c>
      <c r="Z47" s="128">
        <f t="shared" si="43"/>
        <v>0</v>
      </c>
      <c r="AA47" s="5">
        <f t="shared" si="43"/>
        <v>0</v>
      </c>
      <c r="AB47" s="128">
        <f t="shared" si="43"/>
        <v>0</v>
      </c>
      <c r="AC47" s="128">
        <f t="shared" si="43"/>
        <v>0</v>
      </c>
      <c r="AD47" s="243">
        <f t="shared" si="43"/>
        <v>0</v>
      </c>
      <c r="AE47" s="5">
        <f t="shared" si="43"/>
        <v>0</v>
      </c>
      <c r="AF47" s="128">
        <f t="shared" si="43"/>
        <v>0</v>
      </c>
      <c r="AG47" s="5">
        <f t="shared" si="43"/>
        <v>0</v>
      </c>
      <c r="AH47" s="128">
        <f t="shared" si="43"/>
        <v>0</v>
      </c>
      <c r="AI47" s="5">
        <f t="shared" si="43"/>
        <v>0</v>
      </c>
      <c r="AJ47" s="128">
        <f t="shared" si="43"/>
        <v>0</v>
      </c>
      <c r="AN47" s="12"/>
      <c r="AO47" s="62">
        <f aca="true" t="shared" si="44" ref="AO47:AV47">IF(AO34=0,AO33,AO34*AO32)</f>
        <v>0</v>
      </c>
      <c r="AP47" s="128">
        <f t="shared" si="44"/>
        <v>0</v>
      </c>
      <c r="AQ47" s="5">
        <f t="shared" si="44"/>
        <v>0</v>
      </c>
      <c r="AR47" s="128">
        <f t="shared" si="44"/>
        <v>0</v>
      </c>
      <c r="AS47" s="5">
        <f t="shared" si="44"/>
        <v>0</v>
      </c>
      <c r="AT47" s="128">
        <f t="shared" si="44"/>
        <v>0</v>
      </c>
      <c r="AU47" s="5">
        <f t="shared" si="44"/>
        <v>0</v>
      </c>
      <c r="AV47" s="128">
        <f t="shared" si="44"/>
        <v>0</v>
      </c>
      <c r="AW47" s="3"/>
      <c r="AX47" s="3"/>
      <c r="AY47" s="3"/>
      <c r="AZ47" s="3"/>
      <c r="BA47" s="3"/>
      <c r="BB47" s="3"/>
    </row>
    <row r="48" spans="1:54" ht="15.75">
      <c r="A48" s="59" t="s">
        <v>282</v>
      </c>
      <c r="B48" s="15"/>
      <c r="C48" s="212"/>
      <c r="D48" s="15"/>
      <c r="E48" s="212"/>
      <c r="F48" s="15"/>
      <c r="G48" s="212"/>
      <c r="H48" s="15"/>
      <c r="I48" s="14"/>
      <c r="J48" s="212"/>
      <c r="K48" s="15"/>
      <c r="L48" s="212"/>
      <c r="M48" s="15"/>
      <c r="N48" s="212"/>
      <c r="O48" s="15"/>
      <c r="P48" s="212"/>
      <c r="Q48" s="15"/>
      <c r="R48" s="212"/>
      <c r="S48" s="212"/>
      <c r="T48" s="16"/>
      <c r="U48" s="212"/>
      <c r="V48" s="212"/>
      <c r="W48" s="14"/>
      <c r="X48" s="212"/>
      <c r="Y48" s="15"/>
      <c r="Z48" s="212"/>
      <c r="AA48" s="15"/>
      <c r="AB48" s="212"/>
      <c r="AC48" s="212"/>
      <c r="AD48" s="16"/>
      <c r="AE48" s="15"/>
      <c r="AF48" s="212"/>
      <c r="AG48" s="15"/>
      <c r="AH48" s="212"/>
      <c r="AI48" s="15"/>
      <c r="AJ48" s="212"/>
      <c r="AN48" s="12"/>
      <c r="AO48" s="14"/>
      <c r="AP48" s="212"/>
      <c r="AQ48" s="15"/>
      <c r="AR48" s="212"/>
      <c r="AS48" s="15"/>
      <c r="AT48" s="212"/>
      <c r="AU48" s="15"/>
      <c r="AV48" s="212"/>
      <c r="AW48" s="3"/>
      <c r="AX48" s="3"/>
      <c r="AY48" s="3"/>
      <c r="AZ48" s="3"/>
      <c r="BA48" s="3"/>
      <c r="BB48" s="3"/>
    </row>
    <row r="49" spans="1:54" ht="15.75">
      <c r="A49" s="12"/>
      <c r="B49" s="1" t="s">
        <v>283</v>
      </c>
      <c r="C49" s="128">
        <f aca="true" t="shared" si="45" ref="C49:L49">(C16+((C42*C26)+(C45*C32))/100)/(1+(C42+C45)/100)</f>
        <v>1.1663999999999999</v>
      </c>
      <c r="D49" s="5">
        <f t="shared" si="45"/>
        <v>1.1755672676837727</v>
      </c>
      <c r="E49" s="128">
        <f t="shared" si="45"/>
        <v>0.9726145552560648</v>
      </c>
      <c r="F49" s="5">
        <f t="shared" si="45"/>
        <v>0.956070788530466</v>
      </c>
      <c r="G49" s="128">
        <f t="shared" si="45"/>
        <v>0.9541222301644032</v>
      </c>
      <c r="H49" s="5">
        <f t="shared" si="45"/>
        <v>0</v>
      </c>
      <c r="I49" s="62">
        <f t="shared" si="45"/>
        <v>1.0616787719955074</v>
      </c>
      <c r="J49" s="128">
        <f t="shared" si="45"/>
        <v>0.9486531986531987</v>
      </c>
      <c r="K49" s="5">
        <f t="shared" si="45"/>
        <v>0.9533726586991456</v>
      </c>
      <c r="L49" s="128">
        <f t="shared" si="45"/>
        <v>0.9389178604764417</v>
      </c>
      <c r="M49" s="5">
        <f aca="true" t="shared" si="46" ref="M49:V49">(M16+((M42*M26)+(M45*M32))/100)/(1+(M42+M45)/100)</f>
        <v>0</v>
      </c>
      <c r="N49" s="128">
        <f t="shared" si="46"/>
        <v>0.9515549132947976</v>
      </c>
      <c r="O49" s="5">
        <f t="shared" si="46"/>
        <v>0.9747759460472087</v>
      </c>
      <c r="P49" s="128">
        <f t="shared" si="46"/>
        <v>0.9489897411984145</v>
      </c>
      <c r="Q49" s="5">
        <f t="shared" si="46"/>
        <v>0</v>
      </c>
      <c r="R49" s="128">
        <f t="shared" si="46"/>
        <v>0.9580513370749422</v>
      </c>
      <c r="S49" s="128">
        <f t="shared" si="46"/>
        <v>0.9607838479809977</v>
      </c>
      <c r="T49" s="243">
        <f t="shared" si="46"/>
        <v>0.9431198910081744</v>
      </c>
      <c r="U49" s="128">
        <f t="shared" si="46"/>
        <v>0.9554459833795015</v>
      </c>
      <c r="V49" s="128">
        <f t="shared" si="46"/>
        <v>0</v>
      </c>
      <c r="W49" s="62">
        <f aca="true" t="shared" si="47" ref="W49:AJ49">(W16+((W42*W26)+(W45*W32))/100)/(1+(W42+W45)/100)</f>
        <v>0.9826666666666667</v>
      </c>
      <c r="X49" s="128">
        <f t="shared" si="47"/>
        <v>0</v>
      </c>
      <c r="Y49" s="5">
        <f t="shared" si="47"/>
        <v>0.9574419642857143</v>
      </c>
      <c r="Z49" s="128">
        <f t="shared" si="47"/>
        <v>0.956070788530466</v>
      </c>
      <c r="AA49" s="5">
        <f t="shared" si="47"/>
        <v>0.9683319002579535</v>
      </c>
      <c r="AB49" s="128">
        <f t="shared" si="47"/>
        <v>0.9598735735063774</v>
      </c>
      <c r="AC49" s="128">
        <f t="shared" si="47"/>
        <v>0.9504310344827587</v>
      </c>
      <c r="AD49" s="243">
        <f t="shared" si="47"/>
        <v>0</v>
      </c>
      <c r="AE49" s="5">
        <f t="shared" si="47"/>
        <v>0.9755831445400996</v>
      </c>
      <c r="AF49" s="128">
        <f t="shared" si="47"/>
        <v>0.9354674220963172</v>
      </c>
      <c r="AG49" s="5">
        <f t="shared" si="47"/>
        <v>0.9575915724188252</v>
      </c>
      <c r="AH49" s="128">
        <f t="shared" si="47"/>
        <v>0.975</v>
      </c>
      <c r="AI49" s="5">
        <f t="shared" si="47"/>
        <v>0.9564997475002524</v>
      </c>
      <c r="AJ49" s="128">
        <f t="shared" si="47"/>
        <v>0.9663335943617856</v>
      </c>
      <c r="AN49" s="12"/>
      <c r="AO49" s="62">
        <f aca="true" t="shared" si="48" ref="AO49:AV49">(AO16+((AO42*AO26)+(AO45*AO32))/100)/(1+(AO42+AO45)/100)</f>
        <v>1.1650633403047506</v>
      </c>
      <c r="AP49" s="128">
        <f t="shared" si="48"/>
        <v>1.2043197616683219</v>
      </c>
      <c r="AQ49" s="5">
        <f t="shared" si="48"/>
        <v>1.1061455238859894</v>
      </c>
      <c r="AR49" s="128">
        <f t="shared" si="48"/>
        <v>1.2169367088607594</v>
      </c>
      <c r="AS49" s="5">
        <f t="shared" si="48"/>
        <v>1</v>
      </c>
      <c r="AT49" s="128">
        <f t="shared" si="48"/>
        <v>1</v>
      </c>
      <c r="AU49" s="5">
        <f t="shared" si="48"/>
        <v>1.109127388535032</v>
      </c>
      <c r="AV49" s="128">
        <f t="shared" si="48"/>
        <v>1.13627027027027</v>
      </c>
      <c r="AW49" s="3"/>
      <c r="AX49" s="3"/>
      <c r="AY49" s="3"/>
      <c r="AZ49" s="3"/>
      <c r="BA49" s="3"/>
      <c r="BB49" s="3"/>
    </row>
    <row r="50" spans="1:54" ht="15.75">
      <c r="A50" s="12"/>
      <c r="B50" s="1" t="s">
        <v>284</v>
      </c>
      <c r="C50" s="128">
        <f aca="true" t="shared" si="49" ref="C50:L50">C17*C16/(C16+(C42*C26/100)+(C45*C32/100))</f>
        <v>53.703703703703695</v>
      </c>
      <c r="D50" s="5">
        <f t="shared" si="49"/>
        <v>55.96330275229358</v>
      </c>
      <c r="E50" s="128">
        <f t="shared" si="49"/>
        <v>25.806451612903228</v>
      </c>
      <c r="F50" s="5">
        <f t="shared" si="49"/>
        <v>22.399999999999995</v>
      </c>
      <c r="G50" s="128">
        <f t="shared" si="49"/>
        <v>22.302158273381295</v>
      </c>
      <c r="H50" s="5" t="e">
        <f t="shared" si="49"/>
        <v>#DIV/0!</v>
      </c>
      <c r="I50" s="62">
        <f t="shared" si="49"/>
        <v>44.95412844036697</v>
      </c>
      <c r="J50" s="128">
        <f t="shared" si="49"/>
        <v>21.739130434782606</v>
      </c>
      <c r="K50" s="5">
        <f t="shared" si="49"/>
        <v>23.929133858267715</v>
      </c>
      <c r="L50" s="128">
        <f t="shared" si="49"/>
        <v>21.8978102189781</v>
      </c>
      <c r="M50" s="5" t="e">
        <f aca="true" t="shared" si="50" ref="M50:V50">M17*M16/(M16+(M42*M26/100)+(M45*M32/100))</f>
        <v>#DIV/0!</v>
      </c>
      <c r="N50" s="128">
        <f t="shared" si="50"/>
        <v>20.23809523809524</v>
      </c>
      <c r="O50" s="5">
        <f t="shared" si="50"/>
        <v>26.20689655172414</v>
      </c>
      <c r="P50" s="128">
        <f t="shared" si="50"/>
        <v>20.774647887323948</v>
      </c>
      <c r="Q50" s="5" t="e">
        <f t="shared" si="50"/>
        <v>#DIV/0!</v>
      </c>
      <c r="R50" s="128">
        <f t="shared" si="50"/>
        <v>23.880597014925375</v>
      </c>
      <c r="S50" s="128">
        <f t="shared" si="50"/>
        <v>23.741007194244602</v>
      </c>
      <c r="T50" s="243">
        <f t="shared" si="50"/>
        <v>20.422535211267604</v>
      </c>
      <c r="U50" s="128">
        <f t="shared" si="50"/>
        <v>26.470588235294116</v>
      </c>
      <c r="V50" s="128" t="e">
        <f t="shared" si="50"/>
        <v>#DIV/0!</v>
      </c>
      <c r="W50" s="62">
        <f aca="true" t="shared" si="51" ref="W50:AJ50">W17*W16/(W16+(W42*W26/100)+(W45*W32/100))</f>
        <v>23.776223776223773</v>
      </c>
      <c r="X50" s="128" t="e">
        <f t="shared" si="51"/>
        <v>#DIV/0!</v>
      </c>
      <c r="Y50" s="5">
        <f t="shared" si="51"/>
        <v>23.134328358208958</v>
      </c>
      <c r="Z50" s="128">
        <f t="shared" si="51"/>
        <v>23.199999999999996</v>
      </c>
      <c r="AA50" s="5">
        <f t="shared" si="51"/>
        <v>24.806201550387595</v>
      </c>
      <c r="AB50" s="128">
        <f t="shared" si="51"/>
        <v>25.2</v>
      </c>
      <c r="AC50" s="128">
        <f t="shared" si="51"/>
        <v>24.074074074074073</v>
      </c>
      <c r="AD50" s="243" t="e">
        <f t="shared" si="51"/>
        <v>#DIV/0!</v>
      </c>
      <c r="AE50" s="5">
        <f t="shared" si="51"/>
        <v>24.305555555555557</v>
      </c>
      <c r="AF50" s="128">
        <f t="shared" si="51"/>
        <v>26.666666666666668</v>
      </c>
      <c r="AG50" s="5">
        <f t="shared" si="51"/>
        <v>30.081300813008127</v>
      </c>
      <c r="AH50" s="128">
        <f t="shared" si="51"/>
        <v>36</v>
      </c>
      <c r="AI50" s="5">
        <f t="shared" si="51"/>
        <v>39.823008849557525</v>
      </c>
      <c r="AJ50" s="128">
        <f t="shared" si="51"/>
        <v>38.793103448275865</v>
      </c>
      <c r="AN50" s="12"/>
      <c r="AO50" s="62">
        <f aca="true" t="shared" si="52" ref="AO50:AV50">AO17*AO16/(AO16+(AO42*AO26/100)+(AO45*AO32/100))</f>
        <v>50.45045045045045</v>
      </c>
      <c r="AP50" s="128">
        <f t="shared" si="52"/>
        <v>52.72727272727273</v>
      </c>
      <c r="AQ50" s="5">
        <f t="shared" si="52"/>
        <v>47.74774774774775</v>
      </c>
      <c r="AR50" s="128">
        <f t="shared" si="52"/>
        <v>53.30275229357799</v>
      </c>
      <c r="AS50" s="5">
        <f t="shared" si="52"/>
        <v>60</v>
      </c>
      <c r="AT50" s="128">
        <f t="shared" si="52"/>
        <v>60</v>
      </c>
      <c r="AU50" s="5">
        <f t="shared" si="52"/>
        <v>46.902654867256636</v>
      </c>
      <c r="AV50" s="128">
        <f t="shared" si="52"/>
        <v>48.45454545454545</v>
      </c>
      <c r="AW50" s="3"/>
      <c r="AX50" s="3"/>
      <c r="AY50" s="3"/>
      <c r="AZ50" s="3"/>
      <c r="BA50" s="3"/>
      <c r="BB50" s="3"/>
    </row>
    <row r="51" spans="1:54" ht="15.75">
      <c r="A51" s="12"/>
      <c r="B51" s="1" t="s">
        <v>285</v>
      </c>
      <c r="C51" s="128">
        <f aca="true" t="shared" si="53" ref="C51:L51">C36/(1+(C42+C45)/100)</f>
        <v>39.6</v>
      </c>
      <c r="D51" s="5">
        <f t="shared" si="53"/>
        <v>42.03051317614424</v>
      </c>
      <c r="E51" s="128">
        <f t="shared" si="53"/>
        <v>19.17340521114106</v>
      </c>
      <c r="F51" s="5">
        <f t="shared" si="53"/>
        <v>16.85806451612903</v>
      </c>
      <c r="G51" s="128">
        <f t="shared" si="53"/>
        <v>16.70979270907791</v>
      </c>
      <c r="H51" s="5">
        <f t="shared" si="53"/>
        <v>100</v>
      </c>
      <c r="I51" s="62">
        <f t="shared" si="53"/>
        <v>34.65967802321227</v>
      </c>
      <c r="J51" s="128">
        <f t="shared" si="53"/>
        <v>16.679137049507425</v>
      </c>
      <c r="K51" s="5">
        <f t="shared" si="53"/>
        <v>18.77446066048661</v>
      </c>
      <c r="L51" s="128">
        <f t="shared" si="53"/>
        <v>17.715505774026123</v>
      </c>
      <c r="M51" s="5">
        <f aca="true" t="shared" si="54" ref="M51:V51">M36/(1+(M42+M45)/100)</f>
        <v>100</v>
      </c>
      <c r="N51" s="128">
        <f t="shared" si="54"/>
        <v>14.942678227360311</v>
      </c>
      <c r="O51" s="5">
        <f t="shared" si="54"/>
        <v>18.956696224137218</v>
      </c>
      <c r="P51" s="128">
        <f t="shared" si="54"/>
        <v>15.497610165539756</v>
      </c>
      <c r="Q51" s="5">
        <f t="shared" si="54"/>
        <v>100</v>
      </c>
      <c r="R51" s="128">
        <f t="shared" si="54"/>
        <v>18.19907560250908</v>
      </c>
      <c r="S51" s="128">
        <f t="shared" si="54"/>
        <v>17.664291369754554</v>
      </c>
      <c r="T51" s="243">
        <f t="shared" si="54"/>
        <v>15.724341507720261</v>
      </c>
      <c r="U51" s="128">
        <f t="shared" si="54"/>
        <v>21.005051328010435</v>
      </c>
      <c r="V51" s="128">
        <f t="shared" si="54"/>
        <v>100</v>
      </c>
      <c r="W51" s="62">
        <f aca="true" t="shared" si="55" ref="W51:AJ51">W36/(1+(W42+W45)/100)</f>
        <v>15.681788297172913</v>
      </c>
      <c r="X51" s="128">
        <f t="shared" si="55"/>
        <v>100</v>
      </c>
      <c r="Y51" s="5">
        <f t="shared" si="55"/>
        <v>17.393601190476186</v>
      </c>
      <c r="Z51" s="128">
        <f t="shared" si="55"/>
        <v>17.70790521704501</v>
      </c>
      <c r="AA51" s="5">
        <f t="shared" si="55"/>
        <v>18.349097162510745</v>
      </c>
      <c r="AB51" s="128">
        <f t="shared" si="55"/>
        <v>19.513639640983577</v>
      </c>
      <c r="AC51" s="128">
        <f t="shared" si="55"/>
        <v>19.03735632183908</v>
      </c>
      <c r="AD51" s="243">
        <f t="shared" si="55"/>
        <v>100</v>
      </c>
      <c r="AE51" s="5">
        <f t="shared" si="55"/>
        <v>16.845852422426958</v>
      </c>
      <c r="AF51" s="128">
        <f t="shared" si="55"/>
        <v>23.158745147413708</v>
      </c>
      <c r="AG51" s="5">
        <f t="shared" si="55"/>
        <v>24.944728201386358</v>
      </c>
      <c r="AH51" s="128">
        <f t="shared" si="55"/>
        <v>30.66666666666667</v>
      </c>
      <c r="AI51" s="5">
        <f t="shared" si="55"/>
        <v>35.535804464195536</v>
      </c>
      <c r="AJ51" s="128">
        <f t="shared" si="55"/>
        <v>33.66483946750196</v>
      </c>
      <c r="AN51" s="12"/>
      <c r="AO51" s="62">
        <f aca="true" t="shared" si="56" ref="AO51:AV51">AO36/(1+(AO42+AO45)/100)</f>
        <v>35.430247098009275</v>
      </c>
      <c r="AP51" s="128">
        <f t="shared" si="56"/>
        <v>36.494538232373394</v>
      </c>
      <c r="AQ51" s="5">
        <f t="shared" si="56"/>
        <v>35.37381239127526</v>
      </c>
      <c r="AR51" s="128">
        <f t="shared" si="56"/>
        <v>36.630379746835445</v>
      </c>
      <c r="AS51" s="5">
        <f t="shared" si="56"/>
        <v>55.55555555555556</v>
      </c>
      <c r="AT51" s="128">
        <f t="shared" si="56"/>
        <v>55.55555555555556</v>
      </c>
      <c r="AU51" s="5">
        <f t="shared" si="56"/>
        <v>34.09271054493985</v>
      </c>
      <c r="AV51" s="128">
        <f t="shared" si="56"/>
        <v>34.688468468468464</v>
      </c>
      <c r="AW51" s="3"/>
      <c r="AX51" s="3"/>
      <c r="AY51" s="3"/>
      <c r="AZ51" s="3"/>
      <c r="BA51" s="3"/>
      <c r="BB51" s="3"/>
    </row>
    <row r="52" spans="1:54" ht="15.75">
      <c r="A52" s="12"/>
      <c r="B52" s="1" t="s">
        <v>286</v>
      </c>
      <c r="C52" s="128">
        <f aca="true" t="shared" si="57" ref="C52:L52">(C40+(C42*C44/100)+(C45*C47/100))/(1+(C42+C45)/100)</f>
        <v>31.8544</v>
      </c>
      <c r="D52" s="5">
        <f t="shared" si="57"/>
        <v>0.34557004160887655</v>
      </c>
      <c r="E52" s="128">
        <f t="shared" si="57"/>
        <v>31.723665768194074</v>
      </c>
      <c r="F52" s="5">
        <f t="shared" si="57"/>
        <v>28.176703584229394</v>
      </c>
      <c r="G52" s="128">
        <f t="shared" si="57"/>
        <v>22.849539671193707</v>
      </c>
      <c r="H52" s="5">
        <f t="shared" si="57"/>
        <v>0</v>
      </c>
      <c r="I52" s="62">
        <f t="shared" si="57"/>
        <v>0.3120913515537252</v>
      </c>
      <c r="J52" s="128">
        <f t="shared" si="57"/>
        <v>49.135121212121206</v>
      </c>
      <c r="K52" s="5">
        <f t="shared" si="57"/>
        <v>1.4009623547800734</v>
      </c>
      <c r="L52" s="128">
        <f t="shared" si="57"/>
        <v>52.15273397995211</v>
      </c>
      <c r="M52" s="5">
        <f aca="true" t="shared" si="58" ref="M52:V52">(M40+(M42*M44/100)+(M45*M47/100))/(1+(M42+M45)/100)</f>
        <v>0</v>
      </c>
      <c r="N52" s="128">
        <f t="shared" si="58"/>
        <v>31.859843930635837</v>
      </c>
      <c r="O52" s="5">
        <f t="shared" si="58"/>
        <v>1.2791835893593106</v>
      </c>
      <c r="P52" s="128">
        <f t="shared" si="58"/>
        <v>26.52403590580555</v>
      </c>
      <c r="Q52" s="5">
        <f t="shared" si="58"/>
        <v>0</v>
      </c>
      <c r="R52" s="128">
        <f t="shared" si="58"/>
        <v>30.500407972928357</v>
      </c>
      <c r="S52" s="128">
        <f t="shared" si="58"/>
        <v>1.225581947743468</v>
      </c>
      <c r="T52" s="243">
        <f t="shared" si="58"/>
        <v>34.93730517711172</v>
      </c>
      <c r="U52" s="128">
        <f t="shared" si="58"/>
        <v>29.040529656183807</v>
      </c>
      <c r="V52" s="128">
        <f t="shared" si="58"/>
        <v>0</v>
      </c>
      <c r="W52" s="62">
        <f aca="true" t="shared" si="59" ref="W52:AJ52">(W40+(W42*W44/100)+(W45*W47/100))/(1+(W42+W45)/100)</f>
        <v>34.106516765285996</v>
      </c>
      <c r="X52" s="128">
        <f t="shared" si="59"/>
        <v>0</v>
      </c>
      <c r="Y52" s="5">
        <f t="shared" si="59"/>
        <v>24.586497767857146</v>
      </c>
      <c r="Z52" s="128">
        <f t="shared" si="59"/>
        <v>0.8085439068100357</v>
      </c>
      <c r="AA52" s="5">
        <f t="shared" si="59"/>
        <v>0.9896904557179707</v>
      </c>
      <c r="AB52" s="128">
        <f t="shared" si="59"/>
        <v>0.8117599015439696</v>
      </c>
      <c r="AC52" s="128">
        <f t="shared" si="59"/>
        <v>32.2296091954023</v>
      </c>
      <c r="AD52" s="243">
        <f t="shared" si="59"/>
        <v>0</v>
      </c>
      <c r="AE52" s="5">
        <f t="shared" si="59"/>
        <v>18.868445703066</v>
      </c>
      <c r="AF52" s="128">
        <f t="shared" si="59"/>
        <v>0.6073182247403209</v>
      </c>
      <c r="AG52" s="5">
        <f t="shared" si="59"/>
        <v>29.422989419919734</v>
      </c>
      <c r="AH52" s="128">
        <f t="shared" si="59"/>
        <v>35.314499999999995</v>
      </c>
      <c r="AI52" s="5">
        <f t="shared" si="59"/>
        <v>20.37668154731845</v>
      </c>
      <c r="AJ52" s="128">
        <f t="shared" si="59"/>
        <v>20.142748629600625</v>
      </c>
      <c r="AN52" s="12"/>
      <c r="AO52" s="62">
        <f aca="true" t="shared" si="60" ref="AO52:AV52">(AO40+(AO42*AO44/100)+(AO45*AO47/100))/(1+(AO42+AO45)/100)</f>
        <v>34.529587192510704</v>
      </c>
      <c r="AP52" s="128">
        <f t="shared" si="60"/>
        <v>36.73396226415094</v>
      </c>
      <c r="AQ52" s="5">
        <f t="shared" si="60"/>
        <v>34.088860297069445</v>
      </c>
      <c r="AR52" s="128">
        <f t="shared" si="60"/>
        <v>38.17253164556962</v>
      </c>
      <c r="AS52" s="5">
        <f t="shared" si="60"/>
        <v>30</v>
      </c>
      <c r="AT52" s="128">
        <f t="shared" si="60"/>
        <v>30</v>
      </c>
      <c r="AU52" s="5">
        <f t="shared" si="60"/>
        <v>31.34372611464968</v>
      </c>
      <c r="AV52" s="128">
        <f t="shared" si="60"/>
        <v>33.274144144144145</v>
      </c>
      <c r="AW52" s="3"/>
      <c r="AX52" s="3"/>
      <c r="AY52" s="3"/>
      <c r="AZ52" s="3"/>
      <c r="BA52" s="3"/>
      <c r="BB52" s="3"/>
    </row>
    <row r="53" spans="1:54" ht="15.75">
      <c r="A53" s="17"/>
      <c r="B53" s="57" t="s">
        <v>287</v>
      </c>
      <c r="C53" s="121">
        <f aca="true" t="shared" si="61" ref="C53:L53">C52/C49</f>
        <v>27.310013717421125</v>
      </c>
      <c r="D53" s="73">
        <f t="shared" si="61"/>
        <v>0.293960244648318</v>
      </c>
      <c r="E53" s="121">
        <f t="shared" si="61"/>
        <v>32.6168939142002</v>
      </c>
      <c r="F53" s="73">
        <f t="shared" si="61"/>
        <v>29.4713570608496</v>
      </c>
      <c r="G53" s="121">
        <f t="shared" si="61"/>
        <v>23.948231105836975</v>
      </c>
      <c r="H53" s="73" t="e">
        <f t="shared" si="61"/>
        <v>#DIV/0!</v>
      </c>
      <c r="I53" s="107">
        <f t="shared" si="61"/>
        <v>0.293960244648318</v>
      </c>
      <c r="J53" s="121">
        <f t="shared" si="61"/>
        <v>51.794608695652165</v>
      </c>
      <c r="K53" s="73">
        <f t="shared" si="61"/>
        <v>1.4694803149606297</v>
      </c>
      <c r="L53" s="121">
        <f t="shared" si="61"/>
        <v>55.54557664233577</v>
      </c>
      <c r="M53" s="73" t="e">
        <f aca="true" t="shared" si="62" ref="M53:V53">M52/M49</f>
        <v>#DIV/0!</v>
      </c>
      <c r="N53" s="121">
        <f t="shared" si="62"/>
        <v>33.481876332622605</v>
      </c>
      <c r="O53" s="73">
        <f t="shared" si="62"/>
        <v>1.3122847301951779</v>
      </c>
      <c r="P53" s="121">
        <f t="shared" si="62"/>
        <v>27.94976041817918</v>
      </c>
      <c r="Q53" s="73" t="e">
        <f t="shared" si="62"/>
        <v>#DIV/0!</v>
      </c>
      <c r="R53" s="121">
        <f t="shared" si="62"/>
        <v>31.835880597014924</v>
      </c>
      <c r="S53" s="121">
        <f t="shared" si="62"/>
        <v>1.2756063190684566</v>
      </c>
      <c r="T53" s="234">
        <f t="shared" si="62"/>
        <v>37.04439436619718</v>
      </c>
      <c r="U53" s="121">
        <f t="shared" si="62"/>
        <v>30.394737286418586</v>
      </c>
      <c r="V53" s="121" t="e">
        <f t="shared" si="62"/>
        <v>#DIV/0!</v>
      </c>
      <c r="W53" s="107">
        <f aca="true" t="shared" si="63" ref="W53:AJ53">W52/W49</f>
        <v>34.708124252326314</v>
      </c>
      <c r="X53" s="121" t="e">
        <f t="shared" si="63"/>
        <v>#DIV/0!</v>
      </c>
      <c r="Y53" s="73">
        <f t="shared" si="63"/>
        <v>25.679360927322158</v>
      </c>
      <c r="Z53" s="121">
        <f t="shared" si="63"/>
        <v>0.845694603903559</v>
      </c>
      <c r="AA53" s="73">
        <f t="shared" si="63"/>
        <v>1.0220570606569168</v>
      </c>
      <c r="AB53" s="121">
        <f t="shared" si="63"/>
        <v>0.8456946039035591</v>
      </c>
      <c r="AC53" s="121">
        <f t="shared" si="63"/>
        <v>33.910518518518515</v>
      </c>
      <c r="AD53" s="234" t="e">
        <f t="shared" si="63"/>
        <v>#DIV/0!</v>
      </c>
      <c r="AE53" s="73">
        <f t="shared" si="63"/>
        <v>19.34068439852022</v>
      </c>
      <c r="AF53" s="121">
        <f t="shared" si="63"/>
        <v>0.6492136555427694</v>
      </c>
      <c r="AG53" s="73">
        <f t="shared" si="63"/>
        <v>30.726032128289134</v>
      </c>
      <c r="AH53" s="121">
        <f t="shared" si="63"/>
        <v>36.22</v>
      </c>
      <c r="AI53" s="73">
        <f t="shared" si="63"/>
        <v>21.30338413634874</v>
      </c>
      <c r="AJ53" s="121">
        <f t="shared" si="63"/>
        <v>20.844508301404847</v>
      </c>
      <c r="AN53" s="12"/>
      <c r="AO53" s="107">
        <f aca="true" t="shared" si="64" ref="AO53:AV53">AO52/AO49</f>
        <v>29.637519264384935</v>
      </c>
      <c r="AP53" s="121">
        <f t="shared" si="64"/>
        <v>30.50183467326324</v>
      </c>
      <c r="AQ53" s="73">
        <f t="shared" si="64"/>
        <v>30.817699444565115</v>
      </c>
      <c r="AR53" s="121">
        <f t="shared" si="64"/>
        <v>31.3677214004868</v>
      </c>
      <c r="AS53" s="73">
        <f t="shared" si="64"/>
        <v>30</v>
      </c>
      <c r="AT53" s="121">
        <f t="shared" si="64"/>
        <v>30</v>
      </c>
      <c r="AU53" s="73">
        <f t="shared" si="64"/>
        <v>28.259807158895786</v>
      </c>
      <c r="AV53" s="121">
        <f t="shared" si="64"/>
        <v>29.28365285508143</v>
      </c>
      <c r="AW53" s="3"/>
      <c r="AX53" s="3"/>
      <c r="AY53" s="3"/>
      <c r="AZ53" s="3"/>
      <c r="BA53" s="3"/>
      <c r="BB53" s="3"/>
    </row>
    <row r="54" spans="1:48" ht="15.75">
      <c r="A54" s="59" t="s">
        <v>288</v>
      </c>
      <c r="B54" s="15"/>
      <c r="C54" s="245"/>
      <c r="D54" s="246"/>
      <c r="E54" s="245"/>
      <c r="F54" s="246"/>
      <c r="G54" s="245"/>
      <c r="H54" s="246"/>
      <c r="I54" s="247"/>
      <c r="J54" s="245"/>
      <c r="K54" s="246"/>
      <c r="L54" s="245"/>
      <c r="M54" s="246"/>
      <c r="N54" s="245"/>
      <c r="O54" s="246"/>
      <c r="P54" s="245"/>
      <c r="Q54" s="246"/>
      <c r="R54" s="245"/>
      <c r="S54" s="245"/>
      <c r="T54" s="248"/>
      <c r="U54" s="245"/>
      <c r="V54" s="245"/>
      <c r="W54" s="247"/>
      <c r="X54" s="245"/>
      <c r="Y54" s="246"/>
      <c r="Z54" s="245"/>
      <c r="AA54" s="246"/>
      <c r="AB54" s="245"/>
      <c r="AC54" s="245"/>
      <c r="AD54" s="248"/>
      <c r="AE54" s="246"/>
      <c r="AF54" s="245"/>
      <c r="AG54" s="246"/>
      <c r="AH54" s="245"/>
      <c r="AI54" s="246"/>
      <c r="AJ54" s="245"/>
      <c r="AK54" s="249">
        <f>AK132</f>
        <v>2.16493515288</v>
      </c>
      <c r="AL54" s="250" t="s">
        <v>289</v>
      </c>
      <c r="AM54" s="251"/>
      <c r="AN54" s="12"/>
      <c r="AO54" s="14"/>
      <c r="AP54" s="212"/>
      <c r="AQ54" s="15"/>
      <c r="AR54" s="212"/>
      <c r="AS54" s="15"/>
      <c r="AT54" s="212"/>
      <c r="AU54" s="15"/>
      <c r="AV54" s="212"/>
    </row>
    <row r="55" spans="1:48" ht="15.75">
      <c r="A55" s="12"/>
      <c r="B55" s="252" t="s">
        <v>290</v>
      </c>
      <c r="C55" s="253">
        <v>0.149</v>
      </c>
      <c r="D55" s="254">
        <v>0.26</v>
      </c>
      <c r="E55" s="253">
        <v>0.126</v>
      </c>
      <c r="F55" s="254">
        <v>0.232</v>
      </c>
      <c r="G55" s="253">
        <v>0.14</v>
      </c>
      <c r="H55" s="254">
        <v>0.228</v>
      </c>
      <c r="I55" s="255">
        <v>0.293</v>
      </c>
      <c r="J55" s="253">
        <v>0.13</v>
      </c>
      <c r="K55" s="254">
        <v>0.465</v>
      </c>
      <c r="L55" s="253">
        <v>0.1357</v>
      </c>
      <c r="M55" s="254">
        <v>0.212</v>
      </c>
      <c r="N55" s="253">
        <v>0.283</v>
      </c>
      <c r="O55" s="254">
        <v>0.179</v>
      </c>
      <c r="P55" s="253">
        <v>0.124</v>
      </c>
      <c r="Q55" s="254">
        <v>0.179</v>
      </c>
      <c r="R55" s="253">
        <v>0.224</v>
      </c>
      <c r="S55" s="253">
        <v>0.244</v>
      </c>
      <c r="T55" s="256">
        <v>0.103</v>
      </c>
      <c r="U55" s="253">
        <v>0.139</v>
      </c>
      <c r="V55" s="253">
        <v>0.204</v>
      </c>
      <c r="W55" s="255">
        <v>0.155</v>
      </c>
      <c r="X55" s="253">
        <v>0.179</v>
      </c>
      <c r="Y55" s="254">
        <v>0.255</v>
      </c>
      <c r="Z55" s="253">
        <v>0.265</v>
      </c>
      <c r="AA55" s="254">
        <v>0.244</v>
      </c>
      <c r="AB55" s="253">
        <v>0.244</v>
      </c>
      <c r="AC55" s="253">
        <v>0.146</v>
      </c>
      <c r="AD55" s="256">
        <v>0.285</v>
      </c>
      <c r="AE55" s="254">
        <v>0.1275</v>
      </c>
      <c r="AF55" s="253">
        <v>0.232</v>
      </c>
      <c r="AG55" s="254">
        <v>0.252</v>
      </c>
      <c r="AH55" s="253">
        <v>0.252</v>
      </c>
      <c r="AI55" s="254">
        <v>0.116</v>
      </c>
      <c r="AJ55" s="253">
        <v>0.117</v>
      </c>
      <c r="AK55" s="257" t="s">
        <v>291</v>
      </c>
      <c r="AL55" s="258"/>
      <c r="AM55" s="251"/>
      <c r="AN55" s="12"/>
      <c r="AO55" s="259">
        <v>0.176</v>
      </c>
      <c r="AP55" s="260">
        <v>0.21</v>
      </c>
      <c r="AQ55" s="261">
        <v>0.106</v>
      </c>
      <c r="AR55" s="260">
        <v>0.133</v>
      </c>
      <c r="AS55" s="261">
        <v>0</v>
      </c>
      <c r="AT55" s="260">
        <v>0</v>
      </c>
      <c r="AU55" s="261">
        <v>0.162</v>
      </c>
      <c r="AV55" s="260">
        <v>0.17</v>
      </c>
    </row>
    <row r="56" spans="1:48" ht="15.75">
      <c r="A56" s="12"/>
      <c r="B56" s="1" t="s">
        <v>292</v>
      </c>
      <c r="C56" s="128">
        <f aca="true" t="shared" si="65" ref="C56:L56">C17*C55/100</f>
        <v>0.08642</v>
      </c>
      <c r="D56" s="5">
        <f t="shared" si="65"/>
        <v>0.15860000000000002</v>
      </c>
      <c r="E56" s="128">
        <f t="shared" si="65"/>
        <v>0.04032</v>
      </c>
      <c r="F56" s="5">
        <f t="shared" si="65"/>
        <v>0.06496</v>
      </c>
      <c r="G56" s="128">
        <f t="shared" si="65"/>
        <v>0.04340000000000001</v>
      </c>
      <c r="H56" s="5">
        <f t="shared" si="65"/>
        <v>0</v>
      </c>
      <c r="I56" s="62">
        <f t="shared" si="65"/>
        <v>0.14357</v>
      </c>
      <c r="J56" s="128">
        <f t="shared" si="65"/>
        <v>0.03900000000000001</v>
      </c>
      <c r="K56" s="5">
        <f t="shared" si="65"/>
        <v>0.1413135</v>
      </c>
      <c r="L56" s="128">
        <f t="shared" si="65"/>
        <v>0.040709999999999996</v>
      </c>
      <c r="M56" s="5">
        <f aca="true" t="shared" si="66" ref="M56:V56">M17*M55/100</f>
        <v>0</v>
      </c>
      <c r="N56" s="128">
        <f t="shared" si="66"/>
        <v>0.07216499999999999</v>
      </c>
      <c r="O56" s="5">
        <f t="shared" si="66"/>
        <v>0.06802</v>
      </c>
      <c r="P56" s="128">
        <f t="shared" si="66"/>
        <v>0.03658</v>
      </c>
      <c r="Q56" s="5">
        <f t="shared" si="66"/>
        <v>0</v>
      </c>
      <c r="R56" s="128">
        <f t="shared" si="66"/>
        <v>0.07168000000000001</v>
      </c>
      <c r="S56" s="128">
        <f t="shared" si="66"/>
        <v>0.08052</v>
      </c>
      <c r="T56" s="243">
        <f t="shared" si="66"/>
        <v>0.029869999999999997</v>
      </c>
      <c r="U56" s="128">
        <f t="shared" si="66"/>
        <v>0.05004</v>
      </c>
      <c r="V56" s="128">
        <f t="shared" si="66"/>
        <v>0</v>
      </c>
      <c r="W56" s="62">
        <f aca="true" t="shared" si="67" ref="W56:AJ56">W17*W55/100</f>
        <v>0.0527</v>
      </c>
      <c r="X56" s="128">
        <f t="shared" si="67"/>
        <v>0</v>
      </c>
      <c r="Y56" s="5">
        <f t="shared" si="67"/>
        <v>0.07905000000000001</v>
      </c>
      <c r="Z56" s="128">
        <f t="shared" si="67"/>
        <v>0.07685</v>
      </c>
      <c r="AA56" s="5">
        <f t="shared" si="67"/>
        <v>0.07808</v>
      </c>
      <c r="AB56" s="128">
        <f t="shared" si="67"/>
        <v>0.07686</v>
      </c>
      <c r="AC56" s="128">
        <f t="shared" si="67"/>
        <v>0.04745</v>
      </c>
      <c r="AD56" s="243">
        <f t="shared" si="67"/>
        <v>0</v>
      </c>
      <c r="AE56" s="5">
        <f t="shared" si="67"/>
        <v>0.044625000000000005</v>
      </c>
      <c r="AF56" s="128">
        <f t="shared" si="67"/>
        <v>0.07424</v>
      </c>
      <c r="AG56" s="5">
        <f t="shared" si="67"/>
        <v>0.09324</v>
      </c>
      <c r="AH56" s="128">
        <f t="shared" si="67"/>
        <v>0.09072</v>
      </c>
      <c r="AI56" s="5">
        <f t="shared" si="67"/>
        <v>0.0522</v>
      </c>
      <c r="AJ56" s="128">
        <f t="shared" si="67"/>
        <v>0.05265</v>
      </c>
      <c r="AK56" s="262" t="s">
        <v>293</v>
      </c>
      <c r="AL56" s="200"/>
      <c r="AM56" s="30"/>
      <c r="AN56" s="12"/>
      <c r="AO56" s="62">
        <f aca="true" t="shared" si="68" ref="AO56:AV56">AO17*AO55/100</f>
        <v>0.09856</v>
      </c>
      <c r="AP56" s="128">
        <f t="shared" si="68"/>
        <v>0.12179999999999999</v>
      </c>
      <c r="AQ56" s="5">
        <f t="shared" si="68"/>
        <v>0.056179999999999994</v>
      </c>
      <c r="AR56" s="128">
        <f t="shared" si="68"/>
        <v>0.07727300000000001</v>
      </c>
      <c r="AS56" s="5">
        <f t="shared" si="68"/>
        <v>0</v>
      </c>
      <c r="AT56" s="128">
        <f t="shared" si="68"/>
        <v>0</v>
      </c>
      <c r="AU56" s="5">
        <f t="shared" si="68"/>
        <v>0.08586</v>
      </c>
      <c r="AV56" s="128">
        <f t="shared" si="68"/>
        <v>0.09061</v>
      </c>
    </row>
    <row r="57" spans="1:54" ht="15.75">
      <c r="A57" s="12"/>
      <c r="B57" s="1" t="s">
        <v>294</v>
      </c>
      <c r="C57" s="88">
        <f aca="true" t="shared" si="69" ref="C57:L57">$J$5*C55</f>
        <v>3.682088</v>
      </c>
      <c r="D57" s="4">
        <f t="shared" si="69"/>
        <v>6.42512</v>
      </c>
      <c r="E57" s="88">
        <f t="shared" si="69"/>
        <v>3.113712</v>
      </c>
      <c r="F57" s="4">
        <f t="shared" si="69"/>
        <v>5.7331840000000005</v>
      </c>
      <c r="G57" s="88">
        <f t="shared" si="69"/>
        <v>3.45968</v>
      </c>
      <c r="H57" s="4">
        <f t="shared" si="69"/>
        <v>5.634336</v>
      </c>
      <c r="I57" s="72">
        <f t="shared" si="69"/>
        <v>7.240615999999999</v>
      </c>
      <c r="J57" s="88">
        <f t="shared" si="69"/>
        <v>3.21256</v>
      </c>
      <c r="K57" s="4">
        <f t="shared" si="69"/>
        <v>11.49108</v>
      </c>
      <c r="L57" s="88">
        <f t="shared" si="69"/>
        <v>3.3534184</v>
      </c>
      <c r="M57" s="4">
        <f aca="true" t="shared" si="70" ref="M57:V57">$J$5*M55</f>
        <v>5.238944</v>
      </c>
      <c r="N57" s="88">
        <f t="shared" si="70"/>
        <v>6.9934959999999995</v>
      </c>
      <c r="O57" s="4">
        <f t="shared" si="70"/>
        <v>4.423448</v>
      </c>
      <c r="P57" s="88">
        <f t="shared" si="70"/>
        <v>3.064288</v>
      </c>
      <c r="Q57" s="4">
        <f t="shared" si="70"/>
        <v>4.423448</v>
      </c>
      <c r="R57" s="88">
        <f t="shared" si="70"/>
        <v>5.535488</v>
      </c>
      <c r="S57" s="88">
        <f t="shared" si="70"/>
        <v>6.0297279999999995</v>
      </c>
      <c r="T57" s="71">
        <f t="shared" si="70"/>
        <v>2.545336</v>
      </c>
      <c r="U57" s="88">
        <f t="shared" si="70"/>
        <v>3.4349680000000005</v>
      </c>
      <c r="V57" s="88">
        <f t="shared" si="70"/>
        <v>5.0412479999999995</v>
      </c>
      <c r="W57" s="72">
        <f aca="true" t="shared" si="71" ref="W57:AH57">$J$5*W55</f>
        <v>3.8303599999999998</v>
      </c>
      <c r="X57" s="88">
        <f t="shared" si="71"/>
        <v>4.423448</v>
      </c>
      <c r="Y57" s="4">
        <f t="shared" si="71"/>
        <v>6.30156</v>
      </c>
      <c r="Z57" s="88">
        <f t="shared" si="71"/>
        <v>6.54868</v>
      </c>
      <c r="AA57" s="4">
        <f t="shared" si="71"/>
        <v>6.0297279999999995</v>
      </c>
      <c r="AB57" s="88">
        <f t="shared" si="71"/>
        <v>6.0297279999999995</v>
      </c>
      <c r="AC57" s="88">
        <f t="shared" si="71"/>
        <v>3.6079519999999996</v>
      </c>
      <c r="AD57" s="71">
        <f t="shared" si="71"/>
        <v>7.04292</v>
      </c>
      <c r="AE57" s="4">
        <f t="shared" si="71"/>
        <v>3.15078</v>
      </c>
      <c r="AF57" s="88">
        <f t="shared" si="71"/>
        <v>5.7331840000000005</v>
      </c>
      <c r="AG57" s="4">
        <f t="shared" si="71"/>
        <v>6.227424</v>
      </c>
      <c r="AH57" s="88">
        <f t="shared" si="71"/>
        <v>6.227424</v>
      </c>
      <c r="AI57" s="4">
        <f>$AI$5*AI55</f>
        <v>2.3144320000000005</v>
      </c>
      <c r="AJ57" s="88">
        <f>$AI$5*AJ55</f>
        <v>2.3343840000000005</v>
      </c>
      <c r="AK57" s="72"/>
      <c r="AL57" s="4">
        <f>AI62+AJ62</f>
        <v>49.42399832431764</v>
      </c>
      <c r="AM57" s="263" t="s">
        <v>295</v>
      </c>
      <c r="AN57" s="12"/>
      <c r="AO57" s="72">
        <f aca="true" t="shared" si="72" ref="AO57:AV57">$AO$4*AO55</f>
        <v>2.7105759999999997</v>
      </c>
      <c r="AP57" s="88">
        <f t="shared" si="72"/>
        <v>3.23421</v>
      </c>
      <c r="AQ57" s="4">
        <f t="shared" si="72"/>
        <v>1.632506</v>
      </c>
      <c r="AR57" s="88">
        <f t="shared" si="72"/>
        <v>2.048333</v>
      </c>
      <c r="AS57" s="4">
        <f t="shared" si="72"/>
        <v>0</v>
      </c>
      <c r="AT57" s="88">
        <f t="shared" si="72"/>
        <v>0</v>
      </c>
      <c r="AU57" s="4">
        <f t="shared" si="72"/>
        <v>2.494962</v>
      </c>
      <c r="AV57" s="88">
        <f t="shared" si="72"/>
        <v>2.61817</v>
      </c>
      <c r="AW57" s="4"/>
      <c r="AX57" s="4"/>
      <c r="AY57" s="4"/>
      <c r="AZ57" s="4"/>
      <c r="BA57" s="4"/>
      <c r="BB57" s="4"/>
    </row>
    <row r="58" spans="1:48" ht="15.75">
      <c r="A58" s="12"/>
      <c r="B58" s="1" t="s">
        <v>296</v>
      </c>
      <c r="C58" s="128">
        <f aca="true" t="shared" si="73" ref="C58:L58">IF(C16=0,"",+C57/C16*(1+C42/100)/$J$5)</f>
        <v>0.13796296296296298</v>
      </c>
      <c r="D58" s="5">
        <f t="shared" si="73"/>
        <v>0.2410751028806584</v>
      </c>
      <c r="E58" s="128">
        <f t="shared" si="73"/>
        <v>0.16063917525773194</v>
      </c>
      <c r="F58" s="5">
        <f t="shared" si="73"/>
        <v>0.3033248201691699</v>
      </c>
      <c r="G58" s="128">
        <f t="shared" si="73"/>
        <v>0.2039570967406019</v>
      </c>
      <c r="H58" s="5">
        <f t="shared" si="73"/>
      </c>
      <c r="I58" s="62">
        <f t="shared" si="73"/>
        <v>0.3008160362853628</v>
      </c>
      <c r="J58" s="128">
        <f t="shared" si="73"/>
        <v>0.18911020408163268</v>
      </c>
      <c r="K58" s="5">
        <f t="shared" si="73"/>
        <v>0.619432490130136</v>
      </c>
      <c r="L58" s="128">
        <f t="shared" si="73"/>
        <v>0.19800347594374537</v>
      </c>
      <c r="M58" s="5">
        <f aca="true" t="shared" si="74" ref="M58:V58">IF(M16=0,"",+M57/M16*(1+M42/100)/$J$5)</f>
      </c>
      <c r="N58" s="128">
        <f t="shared" si="74"/>
        <v>0.37473402219670876</v>
      </c>
      <c r="O58" s="5">
        <f t="shared" si="74"/>
        <v>0.2662663159185402</v>
      </c>
      <c r="P58" s="128">
        <f t="shared" si="74"/>
        <v>0.18554468226141257</v>
      </c>
      <c r="Q58" s="5">
        <f t="shared" si="74"/>
      </c>
      <c r="R58" s="128">
        <f t="shared" si="74"/>
        <v>0.3133026262626262</v>
      </c>
      <c r="S58" s="128">
        <f t="shared" si="74"/>
        <v>0.3530034364261168</v>
      </c>
      <c r="T58" s="243">
        <f t="shared" si="74"/>
        <v>0.15508102564102563</v>
      </c>
      <c r="U58" s="128">
        <f t="shared" si="74"/>
        <v>0.19785524591494744</v>
      </c>
      <c r="V58" s="128">
        <f t="shared" si="74"/>
      </c>
      <c r="W58" s="62">
        <f aca="true" t="shared" si="75" ref="W58:AH58">IF(W16=0,"",+W57/W16*(1+W42/100)/$J$5)</f>
        <v>0.22555970149253726</v>
      </c>
      <c r="X58" s="128">
        <f t="shared" si="75"/>
      </c>
      <c r="Y58" s="5">
        <f t="shared" si="75"/>
        <v>0.35688847235238985</v>
      </c>
      <c r="Z58" s="128">
        <f t="shared" si="75"/>
        <v>0.3464701609690949</v>
      </c>
      <c r="AA58" s="5">
        <f t="shared" si="75"/>
        <v>0.32505383734249715</v>
      </c>
      <c r="AB58" s="128">
        <f t="shared" si="75"/>
        <v>0.3177501792093806</v>
      </c>
      <c r="AC58" s="128">
        <f t="shared" si="75"/>
        <v>0.20737959183673463</v>
      </c>
      <c r="AD58" s="243">
        <f t="shared" si="75"/>
      </c>
      <c r="AE58" s="5">
        <f t="shared" si="75"/>
        <v>0.18819513336974578</v>
      </c>
      <c r="AF58" s="128">
        <f t="shared" si="75"/>
        <v>0.297605232875053</v>
      </c>
      <c r="AG58" s="5">
        <f t="shared" si="75"/>
        <v>0.3236870592094473</v>
      </c>
      <c r="AH58" s="128">
        <f t="shared" si="75"/>
        <v>0.25846153846153846</v>
      </c>
      <c r="AI58" s="5">
        <f>IF(AI16=0,"",+AI57/AI16*(1+AI42/100)/$AI$5)</f>
        <v>0.13704133256968312</v>
      </c>
      <c r="AJ58" s="128">
        <f>IF(AJ16=0,"",+AJ57/AJ16*(1+AJ42/100)/$AI$5)</f>
        <v>0.14044839255499156</v>
      </c>
      <c r="AK58" s="1" t="s">
        <v>297</v>
      </c>
      <c r="AM58" s="243">
        <f>AL57/$AI$5</f>
        <v>2.4771450643703705</v>
      </c>
      <c r="AN58" s="12"/>
      <c r="AO58" s="62">
        <f aca="true" t="shared" si="76" ref="AO58:AV58">IF(AO16=0,"",+AO57/AO16*(1+AO42/100)/$J$4)</f>
        <v>0.1280922814118499</v>
      </c>
      <c r="AP58" s="128">
        <f t="shared" si="76"/>
        <v>0.14652341035615674</v>
      </c>
      <c r="AQ58" s="5">
        <f t="shared" si="76"/>
        <v>0.08125562385325574</v>
      </c>
      <c r="AR58" s="128">
        <f t="shared" si="76"/>
        <v>0.0910011746708835</v>
      </c>
      <c r="AS58" s="5">
        <f t="shared" si="76"/>
        <v>0</v>
      </c>
      <c r="AT58" s="128">
        <f t="shared" si="76"/>
        <v>0</v>
      </c>
      <c r="AU58" s="5">
        <f t="shared" si="76"/>
        <v>0.126080777837049</v>
      </c>
      <c r="AV58" s="128">
        <f t="shared" si="76"/>
        <v>0.12571781201100893</v>
      </c>
    </row>
    <row r="59" spans="1:54" ht="15.75">
      <c r="A59" s="12"/>
      <c r="B59" s="1" t="s">
        <v>298</v>
      </c>
      <c r="C59" s="88">
        <f>C57*C21</f>
        <v>107.55379048</v>
      </c>
      <c r="D59" s="4">
        <f>D57*D21</f>
        <v>0</v>
      </c>
      <c r="E59" s="88">
        <f>E57*E21</f>
        <v>121.18567104</v>
      </c>
      <c r="F59" s="4">
        <f>F55*F21*$J$4</f>
        <v>165.53148728000002</v>
      </c>
      <c r="G59" s="88">
        <f aca="true" t="shared" si="77" ref="G59:P59">G57*G21</f>
        <v>106.5927408</v>
      </c>
      <c r="H59" s="4">
        <f t="shared" si="77"/>
        <v>0</v>
      </c>
      <c r="I59" s="72">
        <f t="shared" si="77"/>
        <v>0</v>
      </c>
      <c r="J59" s="88">
        <f t="shared" si="77"/>
        <v>221.18475599999996</v>
      </c>
      <c r="K59" s="4">
        <f t="shared" si="77"/>
        <v>0</v>
      </c>
      <c r="L59" s="88">
        <f t="shared" si="77"/>
        <v>246.610389136</v>
      </c>
      <c r="M59" s="4">
        <f t="shared" si="77"/>
        <v>0</v>
      </c>
      <c r="N59" s="88">
        <f t="shared" si="77"/>
        <v>284.49541727999997</v>
      </c>
      <c r="O59" s="4">
        <f t="shared" si="77"/>
        <v>0</v>
      </c>
      <c r="P59" s="88">
        <f t="shared" si="77"/>
        <v>113.43994176000001</v>
      </c>
      <c r="Q59" s="4">
        <f aca="true" t="shared" si="78" ref="Q59:Z59">Q57*Q21</f>
        <v>0</v>
      </c>
      <c r="R59" s="88">
        <f t="shared" si="78"/>
        <v>223.13552128</v>
      </c>
      <c r="S59" s="88">
        <f t="shared" si="78"/>
        <v>0</v>
      </c>
      <c r="T59" s="71">
        <f t="shared" si="78"/>
        <v>126.5031992</v>
      </c>
      <c r="U59" s="88">
        <f t="shared" si="78"/>
        <v>134.822494</v>
      </c>
      <c r="V59" s="88">
        <f t="shared" si="78"/>
        <v>0</v>
      </c>
      <c r="W59" s="72">
        <f t="shared" si="78"/>
        <v>180.5631704</v>
      </c>
      <c r="X59" s="88">
        <f t="shared" si="78"/>
        <v>0</v>
      </c>
      <c r="Y59" s="4">
        <f t="shared" si="78"/>
        <v>203.22531</v>
      </c>
      <c r="Z59" s="88">
        <f t="shared" si="78"/>
        <v>0</v>
      </c>
      <c r="AA59" s="4">
        <f aca="true" t="shared" si="79" ref="AA59:AJ59">AA57*AA21</f>
        <v>0</v>
      </c>
      <c r="AB59" s="88">
        <f t="shared" si="79"/>
        <v>0</v>
      </c>
      <c r="AC59" s="88">
        <f t="shared" si="79"/>
        <v>156.44079871999998</v>
      </c>
      <c r="AD59" s="71">
        <f t="shared" si="79"/>
        <v>0</v>
      </c>
      <c r="AE59" s="4">
        <f t="shared" si="79"/>
        <v>79.714734</v>
      </c>
      <c r="AF59" s="88">
        <f t="shared" si="79"/>
        <v>0</v>
      </c>
      <c r="AG59" s="4">
        <f t="shared" si="79"/>
        <v>228.92010624</v>
      </c>
      <c r="AH59" s="88">
        <f t="shared" si="79"/>
        <v>225.55729728</v>
      </c>
      <c r="AI59" s="4">
        <f t="shared" si="79"/>
        <v>54.64373952000001</v>
      </c>
      <c r="AJ59" s="88">
        <f t="shared" si="79"/>
        <v>55.11480624000001</v>
      </c>
      <c r="AK59" s="264"/>
      <c r="AL59" s="265"/>
      <c r="AM59" s="266"/>
      <c r="AN59" s="12"/>
      <c r="AO59" s="72">
        <f aca="true" t="shared" si="80" ref="AO59:AV59">AO57*AO21</f>
        <v>87.44318175999999</v>
      </c>
      <c r="AP59" s="88">
        <f t="shared" si="80"/>
        <v>106.5348774</v>
      </c>
      <c r="AQ59" s="4">
        <f t="shared" si="80"/>
        <v>54.80322642</v>
      </c>
      <c r="AR59" s="88">
        <f t="shared" si="80"/>
        <v>68.90592212</v>
      </c>
      <c r="AS59" s="4">
        <f t="shared" si="80"/>
        <v>0</v>
      </c>
      <c r="AT59" s="88">
        <f t="shared" si="80"/>
        <v>0</v>
      </c>
      <c r="AU59" s="4">
        <f t="shared" si="80"/>
        <v>77.79291516</v>
      </c>
      <c r="AV59" s="88">
        <f t="shared" si="80"/>
        <v>82.734172</v>
      </c>
      <c r="AW59" s="4"/>
      <c r="AX59" s="4"/>
      <c r="AY59" s="4"/>
      <c r="AZ59" s="4"/>
      <c r="BA59" s="4"/>
      <c r="BB59" s="4"/>
    </row>
    <row r="60" spans="1:54" ht="16.5" thickBot="1">
      <c r="A60" s="12"/>
      <c r="B60" s="1" t="s">
        <v>299</v>
      </c>
      <c r="C60" s="88">
        <f aca="true" t="shared" si="81" ref="C60:L60">IF(C16=0,"",+C57/C16*C42*C27/100)</f>
        <v>1.0487132118518518</v>
      </c>
      <c r="D60" s="4">
        <f t="shared" si="81"/>
        <v>2.058715533333333</v>
      </c>
      <c r="E60" s="88">
        <f t="shared" si="81"/>
        <v>4.748250299381444</v>
      </c>
      <c r="F60" s="4">
        <f t="shared" si="81"/>
        <v>8.30850918943743</v>
      </c>
      <c r="G60" s="88">
        <f t="shared" si="81"/>
        <v>8.573229707216495</v>
      </c>
      <c r="H60" s="4">
        <f t="shared" si="81"/>
      </c>
      <c r="I60" s="72">
        <f t="shared" si="81"/>
        <v>2.320014043333333</v>
      </c>
      <c r="J60" s="88">
        <f t="shared" si="81"/>
        <v>8.4379815936</v>
      </c>
      <c r="K60" s="4">
        <f t="shared" si="81"/>
        <v>21.445113139200004</v>
      </c>
      <c r="L60" s="88">
        <f t="shared" si="81"/>
        <v>8.576166352896001</v>
      </c>
      <c r="M60" s="4">
        <f aca="true" t="shared" si="82" ref="M60:V60">IF(M16=0,"",+M57/M16*M42*M27/100)</f>
      </c>
      <c r="N60" s="88">
        <f t="shared" si="82"/>
        <v>10.540346657910447</v>
      </c>
      <c r="O60" s="4">
        <f t="shared" si="82"/>
        <v>8.416993734557979</v>
      </c>
      <c r="P60" s="88">
        <f t="shared" si="82"/>
        <v>8.17754218226804</v>
      </c>
      <c r="Q60" s="4">
        <f t="shared" si="82"/>
      </c>
      <c r="R60" s="88">
        <f t="shared" si="82"/>
        <v>13.008839639039998</v>
      </c>
      <c r="S60" s="88">
        <f t="shared" si="82"/>
        <v>10.691267203298967</v>
      </c>
      <c r="T60" s="71">
        <f t="shared" si="82"/>
        <v>7.389212221439999</v>
      </c>
      <c r="U60" s="88">
        <f t="shared" si="82"/>
        <v>7.168237928266362</v>
      </c>
      <c r="V60" s="88">
        <f t="shared" si="82"/>
      </c>
      <c r="W60" s="72">
        <f aca="true" t="shared" si="83" ref="W60:AJ60">IF(W16=0,"",+W57/W16*W42*W27/100)</f>
        <v>9.547623059931114</v>
      </c>
      <c r="X60" s="88">
        <f t="shared" si="83"/>
      </c>
      <c r="Y60" s="4">
        <f t="shared" si="83"/>
        <v>13.613535084536082</v>
      </c>
      <c r="Z60" s="88">
        <f t="shared" si="83"/>
        <v>6.922729173363949</v>
      </c>
      <c r="AA60" s="4">
        <f t="shared" si="83"/>
        <v>7.9499166383505155</v>
      </c>
      <c r="AB60" s="88">
        <f t="shared" si="83"/>
        <v>6.374135540757749</v>
      </c>
      <c r="AC60" s="88">
        <f t="shared" si="83"/>
        <v>8.728357478399998</v>
      </c>
      <c r="AD60" s="71">
        <f t="shared" si="83"/>
      </c>
      <c r="AE60" s="4">
        <f t="shared" si="83"/>
        <v>8.036333888404135</v>
      </c>
      <c r="AF60" s="88">
        <f t="shared" si="83"/>
        <v>4.466473611047181</v>
      </c>
      <c r="AG60" s="4">
        <f t="shared" si="83"/>
        <v>6.4330505375889775</v>
      </c>
      <c r="AH60" s="88">
        <f t="shared" si="83"/>
        <v>0</v>
      </c>
      <c r="AI60" s="4">
        <f t="shared" si="83"/>
        <v>1.0711748474074076</v>
      </c>
      <c r="AJ60" s="88">
        <f t="shared" si="83"/>
        <v>1.3297342933333338</v>
      </c>
      <c r="AK60" s="72"/>
      <c r="AL60" s="4"/>
      <c r="AM60" s="71"/>
      <c r="AN60" s="12"/>
      <c r="AO60" s="72">
        <f aca="true" t="shared" si="84" ref="AO60:AV60">IF(AO16=0,"",+AO57/AO16*AO42*AO27/100)</f>
        <v>1.728388983513203</v>
      </c>
      <c r="AP60" s="88">
        <f t="shared" si="84"/>
        <v>1.9793951904761904</v>
      </c>
      <c r="AQ60" s="4">
        <f t="shared" si="84"/>
        <v>1.0409615468886337</v>
      </c>
      <c r="AR60" s="88">
        <f t="shared" si="84"/>
        <v>1.1282552585714285</v>
      </c>
      <c r="AS60" s="4">
        <f t="shared" si="84"/>
        <v>0</v>
      </c>
      <c r="AT60" s="88">
        <f t="shared" si="84"/>
        <v>0</v>
      </c>
      <c r="AU60" s="4">
        <f t="shared" si="84"/>
        <v>1.8801586773134331</v>
      </c>
      <c r="AV60" s="88">
        <f t="shared" si="84"/>
        <v>1.602367535147392</v>
      </c>
      <c r="AW60" s="4"/>
      <c r="AX60" s="4"/>
      <c r="AY60" s="4"/>
      <c r="AZ60" s="4"/>
      <c r="BA60" s="4"/>
      <c r="BB60" s="4"/>
    </row>
    <row r="61" spans="1:54" ht="17.25" thickBot="1" thickTop="1">
      <c r="A61" s="12"/>
      <c r="B61" s="1" t="s">
        <v>300</v>
      </c>
      <c r="C61" s="267">
        <f aca="true" t="shared" si="85" ref="C61:L61">C59+C60</f>
        <v>108.60250369185185</v>
      </c>
      <c r="D61" s="268">
        <f t="shared" si="85"/>
        <v>2.058715533333333</v>
      </c>
      <c r="E61" s="269">
        <f t="shared" si="85"/>
        <v>125.93392133938144</v>
      </c>
      <c r="F61" s="268">
        <f t="shared" si="85"/>
        <v>173.83999646943744</v>
      </c>
      <c r="G61" s="269">
        <f t="shared" si="85"/>
        <v>115.1659705072165</v>
      </c>
      <c r="H61" s="268">
        <f t="shared" si="85"/>
        <v>0</v>
      </c>
      <c r="I61" s="270">
        <f t="shared" si="85"/>
        <v>2.320014043333333</v>
      </c>
      <c r="J61" s="269">
        <f t="shared" si="85"/>
        <v>229.62273759359996</v>
      </c>
      <c r="K61" s="268">
        <f t="shared" si="85"/>
        <v>21.445113139200004</v>
      </c>
      <c r="L61" s="269">
        <f t="shared" si="85"/>
        <v>255.186555488896</v>
      </c>
      <c r="M61" s="268">
        <f aca="true" t="shared" si="86" ref="M61:V61">M59+M60</f>
        <v>0</v>
      </c>
      <c r="N61" s="269">
        <f t="shared" si="86"/>
        <v>295.0357639379104</v>
      </c>
      <c r="O61" s="268">
        <f t="shared" si="86"/>
        <v>8.416993734557979</v>
      </c>
      <c r="P61" s="269">
        <f t="shared" si="86"/>
        <v>121.61748394226805</v>
      </c>
      <c r="Q61" s="268">
        <f t="shared" si="86"/>
        <v>0</v>
      </c>
      <c r="R61" s="269">
        <f t="shared" si="86"/>
        <v>236.14436091904</v>
      </c>
      <c r="S61" s="269">
        <f t="shared" si="86"/>
        <v>10.691267203298967</v>
      </c>
      <c r="T61" s="271">
        <f t="shared" si="86"/>
        <v>133.89241142144</v>
      </c>
      <c r="U61" s="269">
        <f t="shared" si="86"/>
        <v>141.99073192826637</v>
      </c>
      <c r="V61" s="269">
        <f t="shared" si="86"/>
        <v>0</v>
      </c>
      <c r="W61" s="270">
        <f aca="true" t="shared" si="87" ref="W61:AJ61">W59+W60</f>
        <v>190.1107934599311</v>
      </c>
      <c r="X61" s="269">
        <f t="shared" si="87"/>
        <v>0</v>
      </c>
      <c r="Y61" s="268">
        <f t="shared" si="87"/>
        <v>216.8388450845361</v>
      </c>
      <c r="Z61" s="269">
        <f t="shared" si="87"/>
        <v>6.922729173363949</v>
      </c>
      <c r="AA61" s="268">
        <f t="shared" si="87"/>
        <v>7.9499166383505155</v>
      </c>
      <c r="AB61" s="269">
        <f t="shared" si="87"/>
        <v>6.374135540757749</v>
      </c>
      <c r="AC61" s="269">
        <f t="shared" si="87"/>
        <v>165.16915619839997</v>
      </c>
      <c r="AD61" s="271">
        <f t="shared" si="87"/>
        <v>0</v>
      </c>
      <c r="AE61" s="268">
        <f t="shared" si="87"/>
        <v>87.75106788840414</v>
      </c>
      <c r="AF61" s="269">
        <f t="shared" si="87"/>
        <v>4.466473611047181</v>
      </c>
      <c r="AG61" s="268">
        <f t="shared" si="87"/>
        <v>235.35315677758896</v>
      </c>
      <c r="AH61" s="269">
        <f t="shared" si="87"/>
        <v>225.55729728</v>
      </c>
      <c r="AI61" s="268">
        <f t="shared" si="87"/>
        <v>55.71491436740742</v>
      </c>
      <c r="AJ61" s="272">
        <f t="shared" si="87"/>
        <v>56.44454053333334</v>
      </c>
      <c r="AK61" s="273" t="s">
        <v>301</v>
      </c>
      <c r="AL61" s="4"/>
      <c r="AM61" s="71"/>
      <c r="AN61" s="12"/>
      <c r="AO61" s="270">
        <f aca="true" t="shared" si="88" ref="AO61:AV61">AO59+AO60</f>
        <v>89.17157074351319</v>
      </c>
      <c r="AP61" s="272">
        <f t="shared" si="88"/>
        <v>108.5142725904762</v>
      </c>
      <c r="AQ61" s="268">
        <f t="shared" si="88"/>
        <v>55.84418796688863</v>
      </c>
      <c r="AR61" s="269">
        <f t="shared" si="88"/>
        <v>70.03417737857143</v>
      </c>
      <c r="AS61" s="268">
        <f t="shared" si="88"/>
        <v>0</v>
      </c>
      <c r="AT61" s="269">
        <f t="shared" si="88"/>
        <v>0</v>
      </c>
      <c r="AU61" s="268">
        <f t="shared" si="88"/>
        <v>79.67307383731344</v>
      </c>
      <c r="AV61" s="269">
        <f t="shared" si="88"/>
        <v>84.3365395351474</v>
      </c>
      <c r="AW61" s="4"/>
      <c r="AX61" s="4"/>
      <c r="AY61" s="4"/>
      <c r="AZ61" s="4"/>
      <c r="BA61" s="4"/>
      <c r="BB61" s="4"/>
    </row>
    <row r="62" spans="1:54" ht="16.5" thickTop="1">
      <c r="A62" s="17"/>
      <c r="B62" s="57" t="s">
        <v>302</v>
      </c>
      <c r="C62" s="100">
        <f>IF(C61="ERR","",+C61*C63/100)</f>
        <v>13.032300443022223</v>
      </c>
      <c r="D62" s="207">
        <f aca="true" t="shared" si="89" ref="D62:L62">IF(D61=0,"",+D61*D63/100)</f>
        <v>0</v>
      </c>
      <c r="E62" s="100">
        <f t="shared" si="89"/>
        <v>10.074713707150515</v>
      </c>
      <c r="F62" s="207">
        <f t="shared" si="89"/>
        <v>0</v>
      </c>
      <c r="G62" s="100">
        <f t="shared" si="89"/>
        <v>13.81991646086598</v>
      </c>
      <c r="H62" s="207">
        <f t="shared" si="89"/>
      </c>
      <c r="I62" s="11">
        <f t="shared" si="89"/>
        <v>0</v>
      </c>
      <c r="J62" s="100">
        <f t="shared" si="89"/>
        <v>16.073591631551995</v>
      </c>
      <c r="K62" s="207">
        <f t="shared" si="89"/>
        <v>0</v>
      </c>
      <c r="L62" s="100">
        <f t="shared" si="89"/>
        <v>22.966789994000642</v>
      </c>
      <c r="M62" s="207">
        <f>IF(M61="ERR","",+M61*M63/100)</f>
      </c>
      <c r="N62" s="100">
        <f aca="true" t="shared" si="90" ref="N62:W62">IF(N61=0,"",+N61*N63/100)</f>
        <v>8.851072918137312</v>
      </c>
      <c r="O62" s="207">
        <f t="shared" si="90"/>
        <v>0</v>
      </c>
      <c r="P62" s="100">
        <f t="shared" si="90"/>
        <v>17.026447751917527</v>
      </c>
      <c r="Q62" s="207">
        <f t="shared" si="90"/>
      </c>
      <c r="R62" s="100">
        <f t="shared" si="90"/>
        <v>16.5301052643328</v>
      </c>
      <c r="S62" s="100">
        <f t="shared" si="90"/>
        <v>0</v>
      </c>
      <c r="T62" s="210">
        <f t="shared" si="90"/>
        <v>10.7113929137152</v>
      </c>
      <c r="U62" s="100">
        <f t="shared" si="90"/>
        <v>8.519443915695982</v>
      </c>
      <c r="V62" s="100">
        <f t="shared" si="90"/>
      </c>
      <c r="W62" s="11">
        <f t="shared" si="90"/>
        <v>7.604431738397244</v>
      </c>
      <c r="X62" s="100">
        <f aca="true" t="shared" si="91" ref="X62:AJ62">IF(X61=0,"",+X61*X63/100)</f>
      </c>
      <c r="Y62" s="207">
        <f t="shared" si="91"/>
        <v>4.3367769016907225</v>
      </c>
      <c r="Z62" s="100">
        <f t="shared" si="91"/>
        <v>0</v>
      </c>
      <c r="AA62" s="207">
        <f t="shared" si="91"/>
        <v>0</v>
      </c>
      <c r="AB62" s="100">
        <f t="shared" si="91"/>
        <v>0</v>
      </c>
      <c r="AC62" s="100">
        <f t="shared" si="91"/>
        <v>9.910149371904</v>
      </c>
      <c r="AD62" s="210">
        <f t="shared" si="91"/>
      </c>
      <c r="AE62" s="207">
        <f t="shared" si="91"/>
        <v>1.7550213577680827</v>
      </c>
      <c r="AF62" s="100">
        <f t="shared" si="91"/>
        <v>0</v>
      </c>
      <c r="AG62" s="207">
        <f t="shared" si="91"/>
        <v>0</v>
      </c>
      <c r="AH62" s="100">
        <f t="shared" si="91"/>
        <v>0</v>
      </c>
      <c r="AI62" s="207">
        <f t="shared" si="91"/>
        <v>18.876212987677633</v>
      </c>
      <c r="AJ62" s="100">
        <f t="shared" si="91"/>
        <v>30.54778533664</v>
      </c>
      <c r="AK62" s="72"/>
      <c r="AL62" s="4">
        <f>SUM(C62:AH62)</f>
        <v>161.21215437015016</v>
      </c>
      <c r="AM62" s="263" t="s">
        <v>295</v>
      </c>
      <c r="AN62" s="12"/>
      <c r="AO62" s="11">
        <f aca="true" t="shared" si="92" ref="AO62:AV62">IF(AO61=0,"",+AO61*AO63/100)</f>
        <v>5.350294244610791</v>
      </c>
      <c r="AP62" s="100">
        <f t="shared" si="92"/>
        <v>6.510856355428571</v>
      </c>
      <c r="AQ62" s="207">
        <f t="shared" si="92"/>
        <v>5.584418796688864</v>
      </c>
      <c r="AR62" s="100">
        <f t="shared" si="92"/>
        <v>7.003417737857143</v>
      </c>
      <c r="AS62" s="207">
        <f t="shared" si="92"/>
      </c>
      <c r="AT62" s="100">
        <f t="shared" si="92"/>
      </c>
      <c r="AU62" s="207">
        <f t="shared" si="92"/>
        <v>27.08884510468657</v>
      </c>
      <c r="AV62" s="100">
        <f t="shared" si="92"/>
        <v>28.674423441950115</v>
      </c>
      <c r="AW62" s="244">
        <f>SUM(AO62:AV62)</f>
        <v>80.21225568122205</v>
      </c>
      <c r="AX62" s="274" t="s">
        <v>295</v>
      </c>
      <c r="AY62" s="251"/>
      <c r="AZ62" s="4"/>
      <c r="BA62" s="4"/>
      <c r="BB62" s="4"/>
    </row>
    <row r="63" spans="1:54" ht="15.75">
      <c r="A63" s="185"/>
      <c r="B63" s="57" t="s">
        <v>303</v>
      </c>
      <c r="C63" s="239">
        <v>12</v>
      </c>
      <c r="D63" s="240">
        <v>0</v>
      </c>
      <c r="E63" s="239">
        <v>8</v>
      </c>
      <c r="F63" s="240">
        <v>0</v>
      </c>
      <c r="G63" s="239">
        <v>12</v>
      </c>
      <c r="H63" s="240">
        <v>0</v>
      </c>
      <c r="I63" s="242">
        <v>0</v>
      </c>
      <c r="J63" s="239">
        <v>7</v>
      </c>
      <c r="K63" s="240">
        <v>0</v>
      </c>
      <c r="L63" s="239">
        <v>9</v>
      </c>
      <c r="M63" s="240">
        <v>0</v>
      </c>
      <c r="N63" s="239">
        <v>3</v>
      </c>
      <c r="O63" s="240">
        <v>0</v>
      </c>
      <c r="P63" s="239">
        <v>14</v>
      </c>
      <c r="Q63" s="240">
        <v>0</v>
      </c>
      <c r="R63" s="239">
        <v>7</v>
      </c>
      <c r="S63" s="241">
        <v>0</v>
      </c>
      <c r="T63" s="241">
        <v>8</v>
      </c>
      <c r="U63" s="241">
        <v>6</v>
      </c>
      <c r="V63" s="241">
        <v>0</v>
      </c>
      <c r="W63" s="242">
        <v>4</v>
      </c>
      <c r="X63" s="239">
        <v>0</v>
      </c>
      <c r="Y63" s="240">
        <v>2</v>
      </c>
      <c r="Z63" s="239">
        <v>0</v>
      </c>
      <c r="AA63" s="240">
        <v>0</v>
      </c>
      <c r="AB63" s="239">
        <v>0</v>
      </c>
      <c r="AC63" s="241">
        <v>6</v>
      </c>
      <c r="AD63" s="241">
        <v>0</v>
      </c>
      <c r="AE63" s="240">
        <v>2</v>
      </c>
      <c r="AF63" s="239">
        <v>0</v>
      </c>
      <c r="AG63" s="240">
        <v>0</v>
      </c>
      <c r="AH63" s="239">
        <v>0</v>
      </c>
      <c r="AI63" s="207">
        <f>SUM(E63:AH63)*AI14/100</f>
        <v>33.88</v>
      </c>
      <c r="AJ63" s="100">
        <f>SUM(E63:AH63)*AJ14/100</f>
        <v>54.12</v>
      </c>
      <c r="AK63" s="89">
        <f>SUM(C63:AH63)</f>
        <v>100</v>
      </c>
      <c r="AL63" s="8" t="s">
        <v>21</v>
      </c>
      <c r="AM63" s="71"/>
      <c r="AN63" s="12"/>
      <c r="AO63" s="11">
        <f>AO14*AO9/100</f>
        <v>6</v>
      </c>
      <c r="AP63" s="100">
        <f>AP14*AO9/100</f>
        <v>6</v>
      </c>
      <c r="AQ63" s="207">
        <f>AQ14*AQ9/100</f>
        <v>10</v>
      </c>
      <c r="AR63" s="100">
        <f>AR14*AQ9/100</f>
        <v>10</v>
      </c>
      <c r="AS63" s="207">
        <f>AS14*AS9/100</f>
        <v>0</v>
      </c>
      <c r="AT63" s="100">
        <f>AT14*AS9/100</f>
        <v>0</v>
      </c>
      <c r="AU63" s="207">
        <f>AU14*AU9/100</f>
        <v>34</v>
      </c>
      <c r="AV63" s="100">
        <f>AV14*AU9/100</f>
        <v>34</v>
      </c>
      <c r="AW63" s="4"/>
      <c r="AX63" s="4"/>
      <c r="AY63" s="4"/>
      <c r="AZ63" s="4"/>
      <c r="BA63" s="4"/>
      <c r="BB63" s="4"/>
    </row>
    <row r="64" spans="1:52" ht="15.75">
      <c r="A64" s="47" t="s">
        <v>304</v>
      </c>
      <c r="C64" s="88">
        <f aca="true" t="shared" si="93" ref="C64:L64">10000/C50/C51</f>
        <v>4.702194357366771</v>
      </c>
      <c r="D64" s="4">
        <f t="shared" si="93"/>
        <v>4.251400020773106</v>
      </c>
      <c r="E64" s="88">
        <f t="shared" si="93"/>
        <v>20.210285848172443</v>
      </c>
      <c r="F64" s="4">
        <f t="shared" si="93"/>
        <v>26.481602974140294</v>
      </c>
      <c r="G64" s="88">
        <f t="shared" si="93"/>
        <v>26.83379169213744</v>
      </c>
      <c r="H64" s="4" t="e">
        <f t="shared" si="93"/>
        <v>#DIV/0!</v>
      </c>
      <c r="I64" s="72">
        <f t="shared" si="93"/>
        <v>6.418091346459083</v>
      </c>
      <c r="J64" s="88">
        <f t="shared" si="93"/>
        <v>27.579364485981305</v>
      </c>
      <c r="K64" s="4">
        <f t="shared" si="93"/>
        <v>22.258994959316627</v>
      </c>
      <c r="L64" s="88">
        <f t="shared" si="93"/>
        <v>25.77779446388801</v>
      </c>
      <c r="M64" s="4" t="e">
        <f aca="true" t="shared" si="94" ref="M64:V64">10000/M50/M51</f>
        <v>#DIV/0!</v>
      </c>
      <c r="N64" s="88">
        <f t="shared" si="94"/>
        <v>33.0675424807104</v>
      </c>
      <c r="O64" s="4">
        <f t="shared" si="94"/>
        <v>20.12897937788144</v>
      </c>
      <c r="P64" s="88">
        <f t="shared" si="94"/>
        <v>31.060010353965755</v>
      </c>
      <c r="Q64" s="4" t="e">
        <f t="shared" si="94"/>
        <v>#DIV/0!</v>
      </c>
      <c r="R64" s="88">
        <f t="shared" si="94"/>
        <v>23.009410430839</v>
      </c>
      <c r="S64" s="71">
        <f t="shared" si="94"/>
        <v>23.84540157287804</v>
      </c>
      <c r="T64" s="71">
        <f t="shared" si="94"/>
        <v>31.13994771567284</v>
      </c>
      <c r="U64" s="71">
        <f t="shared" si="94"/>
        <v>17.98509186568888</v>
      </c>
      <c r="V64" s="71" t="e">
        <f t="shared" si="94"/>
        <v>#DIV/0!</v>
      </c>
      <c r="W64" s="72">
        <f aca="true" t="shared" si="95" ref="W64:AJ64">10000/W50/W51</f>
        <v>26.820170462952916</v>
      </c>
      <c r="X64" s="88" t="e">
        <f t="shared" si="95"/>
        <v>#DIV/0!</v>
      </c>
      <c r="Y64" s="4">
        <f t="shared" si="95"/>
        <v>24.8515566030576</v>
      </c>
      <c r="Z64" s="88">
        <f t="shared" si="95"/>
        <v>24.34135926725664</v>
      </c>
      <c r="AA64" s="4">
        <f t="shared" si="95"/>
        <v>21.969745782567955</v>
      </c>
      <c r="AB64" s="88">
        <f t="shared" si="95"/>
        <v>20.33579609577104</v>
      </c>
      <c r="AC64" s="71">
        <f t="shared" si="95"/>
        <v>21.81944847605225</v>
      </c>
      <c r="AD64" s="71" t="e">
        <f t="shared" si="95"/>
        <v>#DIV/0!</v>
      </c>
      <c r="AE64" s="4">
        <f t="shared" si="95"/>
        <v>24.423137583755317</v>
      </c>
      <c r="AF64" s="88">
        <f t="shared" si="95"/>
        <v>16.19258718954722</v>
      </c>
      <c r="AG64" s="4">
        <f t="shared" si="95"/>
        <v>13.326761059435267</v>
      </c>
      <c r="AH64" s="88">
        <f t="shared" si="95"/>
        <v>9.057971014492752</v>
      </c>
      <c r="AI64" s="4">
        <f t="shared" si="95"/>
        <v>7.066425395381739</v>
      </c>
      <c r="AJ64" s="88">
        <f t="shared" si="95"/>
        <v>7.6571812566229855</v>
      </c>
      <c r="AK64" s="55" t="s">
        <v>297</v>
      </c>
      <c r="AL64" s="4"/>
      <c r="AM64" s="71">
        <f>AL62/$J$5</f>
        <v>6.523638490213263</v>
      </c>
      <c r="AN64" s="12"/>
      <c r="AO64" s="88">
        <f aca="true" t="shared" si="96" ref="AO64:AV64">10000/AO50/AO51</f>
        <v>5.594493461080683</v>
      </c>
      <c r="AP64" s="71">
        <f t="shared" si="96"/>
        <v>5.196809758386112</v>
      </c>
      <c r="AQ64" s="71">
        <f t="shared" si="96"/>
        <v>5.920593459013385</v>
      </c>
      <c r="AR64" s="71">
        <f t="shared" si="96"/>
        <v>5.121638772143756</v>
      </c>
      <c r="AS64" s="4">
        <f t="shared" si="96"/>
        <v>2.9999999999999996</v>
      </c>
      <c r="AT64" s="88">
        <f t="shared" si="96"/>
        <v>2.9999999999999996</v>
      </c>
      <c r="AU64" s="4">
        <f t="shared" si="96"/>
        <v>6.253757585181396</v>
      </c>
      <c r="AV64" s="88">
        <f t="shared" si="96"/>
        <v>5.949498377375426</v>
      </c>
      <c r="AW64" s="4"/>
      <c r="AX64" s="4"/>
      <c r="AY64" s="4"/>
      <c r="AZ64" s="4"/>
    </row>
    <row r="65" spans="1:52" ht="15.75">
      <c r="A65" s="12"/>
      <c r="B65" s="1" t="s">
        <v>305</v>
      </c>
      <c r="C65" s="88">
        <f aca="true" t="shared" si="97" ref="C65:L65">C57*(1-C17/100)+IF(C27=0,0,C60/C27*C26)</f>
        <v>1.8410440000000001</v>
      </c>
      <c r="D65" s="4">
        <f t="shared" si="97"/>
        <v>3.0840576</v>
      </c>
      <c r="E65" s="88">
        <f t="shared" si="97"/>
        <v>2.86461504</v>
      </c>
      <c r="F65" s="4">
        <f t="shared" si="97"/>
        <v>5.56118848</v>
      </c>
      <c r="G65" s="88">
        <f t="shared" si="97"/>
        <v>3.7364544</v>
      </c>
      <c r="H65" s="4">
        <f t="shared" si="97"/>
        <v>5.634336</v>
      </c>
      <c r="I65" s="72">
        <f t="shared" si="97"/>
        <v>4.344369599999999</v>
      </c>
      <c r="J65" s="88">
        <f t="shared" si="97"/>
        <v>3.4695647999999997</v>
      </c>
      <c r="K65" s="4">
        <f t="shared" si="97"/>
        <v>11.101532387999999</v>
      </c>
      <c r="L65" s="88">
        <f t="shared" si="97"/>
        <v>3.588157688</v>
      </c>
      <c r="M65" s="4">
        <f aca="true" t="shared" si="98" ref="M65:V65">M57*(1-M17/100)+IF(M27=0,0,M60/M27*M26)</f>
        <v>5.238944</v>
      </c>
      <c r="N65" s="88">
        <f t="shared" si="98"/>
        <v>7.028463479999999</v>
      </c>
      <c r="O65" s="4">
        <f t="shared" si="98"/>
        <v>4.73308936</v>
      </c>
      <c r="P65" s="88">
        <f t="shared" si="98"/>
        <v>3.447324</v>
      </c>
      <c r="Q65" s="4">
        <f t="shared" si="98"/>
        <v>4.423448</v>
      </c>
      <c r="R65" s="88">
        <f t="shared" si="98"/>
        <v>5.64619776</v>
      </c>
      <c r="S65" s="71">
        <f t="shared" si="98"/>
        <v>6.391511679999999</v>
      </c>
      <c r="T65" s="71">
        <f t="shared" si="98"/>
        <v>2.87622968</v>
      </c>
      <c r="U65" s="71">
        <f t="shared" si="98"/>
        <v>3.4349680000000005</v>
      </c>
      <c r="V65" s="71">
        <f t="shared" si="98"/>
        <v>5.0412479999999995</v>
      </c>
      <c r="W65" s="72">
        <f aca="true" t="shared" si="99" ref="W65:AJ65">W57*(1-W17/100)+IF(W27=0,0,W60/W27*W26)</f>
        <v>4.1750924</v>
      </c>
      <c r="X65" s="88">
        <f t="shared" si="99"/>
        <v>4.423448</v>
      </c>
      <c r="Y65" s="4">
        <f t="shared" si="99"/>
        <v>6.4906068</v>
      </c>
      <c r="Z65" s="88">
        <f t="shared" si="99"/>
        <v>6.2867328</v>
      </c>
      <c r="AA65" s="4">
        <f t="shared" si="99"/>
        <v>5.848836159999999</v>
      </c>
      <c r="AB65" s="88">
        <f t="shared" si="99"/>
        <v>5.63779568</v>
      </c>
      <c r="AC65" s="71">
        <f t="shared" si="99"/>
        <v>3.6981507999999996</v>
      </c>
      <c r="AD65" s="71">
        <f t="shared" si="99"/>
        <v>7.04292</v>
      </c>
      <c r="AE65" s="4">
        <f t="shared" si="99"/>
        <v>3.4343502000000004</v>
      </c>
      <c r="AF65" s="88">
        <f t="shared" si="99"/>
        <v>5.04520192</v>
      </c>
      <c r="AG65" s="4">
        <f t="shared" si="99"/>
        <v>5.35558464</v>
      </c>
      <c r="AH65" s="88">
        <f t="shared" si="99"/>
        <v>3.98555136</v>
      </c>
      <c r="AI65" s="4">
        <f t="shared" si="99"/>
        <v>1.5738137600000004</v>
      </c>
      <c r="AJ65" s="88">
        <f t="shared" si="99"/>
        <v>1.6574126400000004</v>
      </c>
      <c r="AK65" s="275" t="s">
        <v>306</v>
      </c>
      <c r="AL65" s="276"/>
      <c r="AM65" s="266"/>
      <c r="AN65" s="12"/>
      <c r="AO65" s="88">
        <f aca="true" t="shared" si="100" ref="AO65:AV65">AO57*(1-AO17/100)+IF(AO27=0,0,AO60/AO27*AO26)</f>
        <v>1.4908167999999997</v>
      </c>
      <c r="AP65" s="71">
        <f t="shared" si="100"/>
        <v>1.6817892</v>
      </c>
      <c r="AQ65" s="71">
        <f t="shared" si="100"/>
        <v>0.94685348</v>
      </c>
      <c r="AR65" s="71">
        <f t="shared" si="100"/>
        <v>1.0426014970000002</v>
      </c>
      <c r="AS65" s="4">
        <f t="shared" si="100"/>
        <v>0</v>
      </c>
      <c r="AT65" s="88">
        <f t="shared" si="100"/>
        <v>0</v>
      </c>
      <c r="AU65" s="4">
        <f t="shared" si="100"/>
        <v>1.4969772</v>
      </c>
      <c r="AV65" s="88">
        <f t="shared" si="100"/>
        <v>1.4845023900000003</v>
      </c>
      <c r="AW65" s="4"/>
      <c r="AX65" s="4"/>
      <c r="AY65" s="4"/>
      <c r="AZ65" s="4"/>
    </row>
    <row r="66" spans="1:54" ht="15.75">
      <c r="A66" s="12"/>
      <c r="B66" s="1" t="s">
        <v>307</v>
      </c>
      <c r="C66" s="88">
        <f aca="true" t="shared" si="101" ref="C66:L66">C65*C63/100</f>
        <v>0.22092528</v>
      </c>
      <c r="D66" s="4">
        <f t="shared" si="101"/>
        <v>0</v>
      </c>
      <c r="E66" s="88">
        <f t="shared" si="101"/>
        <v>0.2291692032</v>
      </c>
      <c r="F66" s="4">
        <f t="shared" si="101"/>
        <v>0</v>
      </c>
      <c r="G66" s="88">
        <f t="shared" si="101"/>
        <v>0.448374528</v>
      </c>
      <c r="H66" s="4">
        <f t="shared" si="101"/>
        <v>0</v>
      </c>
      <c r="I66" s="72">
        <f t="shared" si="101"/>
        <v>0</v>
      </c>
      <c r="J66" s="88">
        <f t="shared" si="101"/>
        <v>0.24286953599999997</v>
      </c>
      <c r="K66" s="4">
        <f t="shared" si="101"/>
        <v>0</v>
      </c>
      <c r="L66" s="88">
        <f t="shared" si="101"/>
        <v>0.32293419192</v>
      </c>
      <c r="M66" s="4">
        <f aca="true" t="shared" si="102" ref="M66:V66">M65*M63/100</f>
        <v>0</v>
      </c>
      <c r="N66" s="88">
        <f t="shared" si="102"/>
        <v>0.2108539044</v>
      </c>
      <c r="O66" s="4">
        <f t="shared" si="102"/>
        <v>0</v>
      </c>
      <c r="P66" s="88">
        <f t="shared" si="102"/>
        <v>0.48262535999999995</v>
      </c>
      <c r="Q66" s="4">
        <f t="shared" si="102"/>
        <v>0</v>
      </c>
      <c r="R66" s="88">
        <f t="shared" si="102"/>
        <v>0.3952338432</v>
      </c>
      <c r="S66" s="71">
        <f t="shared" si="102"/>
        <v>0</v>
      </c>
      <c r="T66" s="71">
        <f t="shared" si="102"/>
        <v>0.23009837439999997</v>
      </c>
      <c r="U66" s="71">
        <f t="shared" si="102"/>
        <v>0.20609808000000002</v>
      </c>
      <c r="V66" s="71">
        <f t="shared" si="102"/>
        <v>0</v>
      </c>
      <c r="W66" s="72">
        <f aca="true" t="shared" si="103" ref="W66:AJ66">W65*W63/100</f>
        <v>0.16700369599999998</v>
      </c>
      <c r="X66" s="88">
        <f t="shared" si="103"/>
        <v>0</v>
      </c>
      <c r="Y66" s="4">
        <f t="shared" si="103"/>
        <v>0.129812136</v>
      </c>
      <c r="Z66" s="88">
        <f t="shared" si="103"/>
        <v>0</v>
      </c>
      <c r="AA66" s="4">
        <f t="shared" si="103"/>
        <v>0</v>
      </c>
      <c r="AB66" s="88">
        <f t="shared" si="103"/>
        <v>0</v>
      </c>
      <c r="AC66" s="71">
        <f t="shared" si="103"/>
        <v>0.22188904799999995</v>
      </c>
      <c r="AD66" s="71">
        <f t="shared" si="103"/>
        <v>0</v>
      </c>
      <c r="AE66" s="4">
        <f t="shared" si="103"/>
        <v>0.06868700400000001</v>
      </c>
      <c r="AF66" s="88">
        <f t="shared" si="103"/>
        <v>0</v>
      </c>
      <c r="AG66" s="4">
        <f t="shared" si="103"/>
        <v>0</v>
      </c>
      <c r="AH66" s="88">
        <f t="shared" si="103"/>
        <v>0</v>
      </c>
      <c r="AI66" s="4">
        <f t="shared" si="103"/>
        <v>0.5332081018880002</v>
      </c>
      <c r="AJ66" s="88">
        <f t="shared" si="103"/>
        <v>0.8969917207680003</v>
      </c>
      <c r="AK66" s="277"/>
      <c r="AL66" s="46">
        <f>AL57+AL62</f>
        <v>210.6361526944678</v>
      </c>
      <c r="AM66" s="278" t="s">
        <v>295</v>
      </c>
      <c r="AN66" s="12"/>
      <c r="AO66" s="88">
        <f aca="true" t="shared" si="104" ref="AO66:AV66">AO65*AO63/100</f>
        <v>0.089449008</v>
      </c>
      <c r="AP66" s="71">
        <f t="shared" si="104"/>
        <v>0.100907352</v>
      </c>
      <c r="AQ66" s="71">
        <f t="shared" si="104"/>
        <v>0.094685348</v>
      </c>
      <c r="AR66" s="71">
        <f t="shared" si="104"/>
        <v>0.10426014970000001</v>
      </c>
      <c r="AS66" s="4">
        <f t="shared" si="104"/>
        <v>0</v>
      </c>
      <c r="AT66" s="88">
        <f t="shared" si="104"/>
        <v>0</v>
      </c>
      <c r="AU66" s="4">
        <f t="shared" si="104"/>
        <v>0.508972248</v>
      </c>
      <c r="AV66" s="88">
        <f t="shared" si="104"/>
        <v>0.5047308126000001</v>
      </c>
      <c r="AW66" s="244">
        <f>SUM(AO66:AV66)</f>
        <v>1.4030049183000002</v>
      </c>
      <c r="AX66" s="274" t="s">
        <v>308</v>
      </c>
      <c r="AY66" s="251"/>
      <c r="AZ66" s="4"/>
      <c r="BB66" s="4"/>
    </row>
    <row r="67" spans="1:51" ht="15.75">
      <c r="A67" s="279" t="s">
        <v>309</v>
      </c>
      <c r="B67" s="193"/>
      <c r="C67" s="280">
        <f aca="true" t="shared" si="105" ref="C67:L67">IF(C63=0,"",+C61/$J$5)</f>
        <v>4.394727407407407</v>
      </c>
      <c r="D67" s="281">
        <f t="shared" si="105"/>
      </c>
      <c r="E67" s="280">
        <f t="shared" si="105"/>
        <v>5.096063505154639</v>
      </c>
      <c r="F67" s="281">
        <f t="shared" si="105"/>
      </c>
      <c r="G67" s="280">
        <f t="shared" si="105"/>
        <v>4.6603257731958765</v>
      </c>
      <c r="H67" s="281">
        <f t="shared" si="105"/>
      </c>
      <c r="I67" s="282">
        <f t="shared" si="105"/>
      </c>
      <c r="J67" s="280">
        <f t="shared" si="105"/>
        <v>9.291952799999999</v>
      </c>
      <c r="K67" s="281">
        <f t="shared" si="105"/>
      </c>
      <c r="L67" s="280">
        <f t="shared" si="105"/>
        <v>10.326422608</v>
      </c>
      <c r="M67" s="281">
        <f aca="true" t="shared" si="106" ref="M67:V67">IF(M63=0,"",+M61/$J$5)</f>
      </c>
      <c r="N67" s="280">
        <f t="shared" si="106"/>
        <v>11.938967462686566</v>
      </c>
      <c r="O67" s="281">
        <f t="shared" si="106"/>
      </c>
      <c r="P67" s="280">
        <f t="shared" si="106"/>
        <v>4.9213938144329905</v>
      </c>
      <c r="Q67" s="281">
        <f t="shared" si="106"/>
      </c>
      <c r="R67" s="280">
        <f t="shared" si="106"/>
        <v>9.55585792</v>
      </c>
      <c r="S67" s="283">
        <f t="shared" si="106"/>
      </c>
      <c r="T67" s="283">
        <f t="shared" si="106"/>
        <v>5.418113119999999</v>
      </c>
      <c r="U67" s="283">
        <f t="shared" si="106"/>
        <v>5.74582113662457</v>
      </c>
      <c r="V67" s="283">
        <f t="shared" si="106"/>
      </c>
      <c r="W67" s="282">
        <f aca="true" t="shared" si="107" ref="W67:AH67">IF(W63=0,"",+W61/$J$5)</f>
        <v>7.693055740528128</v>
      </c>
      <c r="X67" s="280">
        <f t="shared" si="107"/>
      </c>
      <c r="Y67" s="281">
        <f t="shared" si="107"/>
        <v>8.77463762886598</v>
      </c>
      <c r="Z67" s="280">
        <f t="shared" si="107"/>
      </c>
      <c r="AA67" s="281">
        <f t="shared" si="107"/>
      </c>
      <c r="AB67" s="280">
        <f t="shared" si="107"/>
      </c>
      <c r="AC67" s="283">
        <f t="shared" si="107"/>
        <v>6.683763199999999</v>
      </c>
      <c r="AD67" s="283">
        <f t="shared" si="107"/>
      </c>
      <c r="AE67" s="281">
        <f t="shared" si="107"/>
        <v>3.5509496555683127</v>
      </c>
      <c r="AF67" s="280">
        <f t="shared" si="107"/>
      </c>
      <c r="AG67" s="281">
        <f t="shared" si="107"/>
      </c>
      <c r="AH67" s="280">
        <f t="shared" si="107"/>
      </c>
      <c r="AI67" s="281">
        <f>IF(AI63=0,"",+AI61/$AI$5)</f>
        <v>2.792447592592593</v>
      </c>
      <c r="AJ67" s="280">
        <f>IF(AJ63=0,"",+AJ61/$AI$5)</f>
        <v>2.8290166666666665</v>
      </c>
      <c r="AK67" s="58" t="s">
        <v>310</v>
      </c>
      <c r="AL67" s="207"/>
      <c r="AM67" s="210">
        <f>AL66/$J$5</f>
        <v>8.523638422404815</v>
      </c>
      <c r="AN67" s="17"/>
      <c r="AO67" s="280">
        <f aca="true" t="shared" si="108" ref="AO67:AV67">IF(AO63=0,"",+AO61/$AN$4)</f>
        <v>4.469304868860926</v>
      </c>
      <c r="AP67" s="283">
        <f t="shared" si="108"/>
        <v>5.4387666695306836</v>
      </c>
      <c r="AQ67" s="283">
        <f t="shared" si="108"/>
        <v>2.798926822718957</v>
      </c>
      <c r="AR67" s="283">
        <f t="shared" si="108"/>
        <v>3.5101331885811664</v>
      </c>
      <c r="AS67" s="281">
        <f t="shared" si="108"/>
      </c>
      <c r="AT67" s="280">
        <f t="shared" si="108"/>
      </c>
      <c r="AU67" s="281">
        <f t="shared" si="108"/>
        <v>3.99323746177393</v>
      </c>
      <c r="AV67" s="280">
        <f t="shared" si="108"/>
        <v>4.226971708858631</v>
      </c>
      <c r="AW67" s="244">
        <f>AW132</f>
        <v>1.7271787983999998</v>
      </c>
      <c r="AX67" s="177" t="s">
        <v>311</v>
      </c>
      <c r="AY67" s="21"/>
    </row>
    <row r="68" spans="4:39" ht="15.75">
      <c r="D68" s="35" t="s">
        <v>312</v>
      </c>
      <c r="AH68" s="15"/>
      <c r="AI68" s="15"/>
      <c r="AJ68" s="284">
        <f>SUM(C66:AJ66)</f>
        <v>5.006774007776</v>
      </c>
      <c r="AK68" s="111" t="s">
        <v>313</v>
      </c>
      <c r="AL68" s="191"/>
      <c r="AM68" s="21"/>
    </row>
    <row r="69" spans="1:48" ht="15.75" customHeight="1">
      <c r="A69" s="178"/>
      <c r="B69" s="191"/>
      <c r="C69" s="191"/>
      <c r="D69" s="191"/>
      <c r="E69" s="191"/>
      <c r="F69" s="177" t="s">
        <v>314</v>
      </c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77" t="s">
        <v>314</v>
      </c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21"/>
      <c r="AN69" s="212"/>
      <c r="AO69" s="185"/>
      <c r="AP69" s="191"/>
      <c r="AQ69" s="177" t="s">
        <v>314</v>
      </c>
      <c r="AR69" s="191"/>
      <c r="AS69" s="191"/>
      <c r="AT69" s="191"/>
      <c r="AU69" s="191"/>
      <c r="AV69" s="191"/>
    </row>
    <row r="70" spans="1:54" ht="15.75">
      <c r="A70" s="59" t="s">
        <v>315</v>
      </c>
      <c r="B70" s="16"/>
      <c r="C70" s="212"/>
      <c r="D70" s="15"/>
      <c r="E70" s="212"/>
      <c r="F70" s="15"/>
      <c r="G70" s="212"/>
      <c r="H70" s="15"/>
      <c r="I70" s="14"/>
      <c r="J70" s="212"/>
      <c r="K70" s="15"/>
      <c r="L70" s="212"/>
      <c r="M70" s="15"/>
      <c r="N70" s="212"/>
      <c r="O70" s="15"/>
      <c r="P70" s="212"/>
      <c r="Q70" s="15"/>
      <c r="R70" s="212"/>
      <c r="S70" s="212"/>
      <c r="T70" s="16"/>
      <c r="U70" s="212"/>
      <c r="V70" s="212"/>
      <c r="W70" s="14"/>
      <c r="X70" s="212"/>
      <c r="Y70" s="15"/>
      <c r="Z70" s="212"/>
      <c r="AA70" s="15"/>
      <c r="AB70" s="212"/>
      <c r="AC70" s="212"/>
      <c r="AD70" s="16"/>
      <c r="AE70" s="15"/>
      <c r="AF70" s="212"/>
      <c r="AG70" s="15"/>
      <c r="AH70" s="212"/>
      <c r="AI70" s="154" t="s">
        <v>316</v>
      </c>
      <c r="AJ70" s="153"/>
      <c r="AN70" s="142"/>
      <c r="AO70" s="14"/>
      <c r="AP70" s="212"/>
      <c r="AQ70" s="15"/>
      <c r="AR70" s="212"/>
      <c r="AS70" s="15"/>
      <c r="AT70" s="212"/>
      <c r="AU70" s="15"/>
      <c r="AV70" s="212"/>
      <c r="BA70" s="285"/>
      <c r="BB70" s="285"/>
    </row>
    <row r="71" spans="1:54" ht="15.75">
      <c r="A71" s="55" t="s">
        <v>317</v>
      </c>
      <c r="B71" s="28"/>
      <c r="C71" s="141">
        <v>38</v>
      </c>
      <c r="D71" s="3">
        <v>36</v>
      </c>
      <c r="E71" s="141">
        <v>12</v>
      </c>
      <c r="F71" s="3">
        <v>16</v>
      </c>
      <c r="G71" s="141">
        <v>14</v>
      </c>
      <c r="H71" s="3">
        <v>14</v>
      </c>
      <c r="I71" s="61">
        <v>20</v>
      </c>
      <c r="J71" s="141">
        <v>35</v>
      </c>
      <c r="K71" s="3">
        <v>12</v>
      </c>
      <c r="L71" s="141">
        <v>30</v>
      </c>
      <c r="M71" s="3"/>
      <c r="N71" s="141">
        <v>15</v>
      </c>
      <c r="O71" s="3">
        <v>11</v>
      </c>
      <c r="P71" s="141">
        <v>15</v>
      </c>
      <c r="Q71" s="3"/>
      <c r="R71" s="141">
        <v>14</v>
      </c>
      <c r="S71" s="141">
        <v>15</v>
      </c>
      <c r="T71" s="211">
        <v>14</v>
      </c>
      <c r="U71" s="141">
        <v>25</v>
      </c>
      <c r="V71" s="141">
        <v>9</v>
      </c>
      <c r="W71" s="61">
        <v>18</v>
      </c>
      <c r="X71" s="141">
        <v>13</v>
      </c>
      <c r="Y71" s="3">
        <v>12</v>
      </c>
      <c r="Z71" s="141">
        <v>13</v>
      </c>
      <c r="AA71" s="3">
        <v>16</v>
      </c>
      <c r="AB71" s="141">
        <v>12</v>
      </c>
      <c r="AC71" s="141">
        <v>15</v>
      </c>
      <c r="AD71" s="211">
        <v>9</v>
      </c>
      <c r="AE71" s="3">
        <v>10</v>
      </c>
      <c r="AF71" s="141">
        <v>9</v>
      </c>
      <c r="AG71" s="3"/>
      <c r="AH71" s="141">
        <v>13</v>
      </c>
      <c r="AI71" s="3">
        <v>38</v>
      </c>
      <c r="AJ71" s="141">
        <v>46</v>
      </c>
      <c r="AK71" s="3"/>
      <c r="AL71" s="3"/>
      <c r="AM71" s="3"/>
      <c r="AN71" s="141"/>
      <c r="AO71" s="61">
        <v>30</v>
      </c>
      <c r="AP71" s="141">
        <v>31</v>
      </c>
      <c r="AQ71" s="3">
        <v>21</v>
      </c>
      <c r="AR71" s="141">
        <v>15</v>
      </c>
      <c r="AS71" s="3"/>
      <c r="AT71" s="141"/>
      <c r="AU71" s="3">
        <v>20</v>
      </c>
      <c r="AV71" s="141">
        <v>15</v>
      </c>
      <c r="BA71" s="285"/>
      <c r="BB71" s="285"/>
    </row>
    <row r="72" spans="1:54" ht="15.75">
      <c r="A72" s="55" t="s">
        <v>318</v>
      </c>
      <c r="B72" s="13"/>
      <c r="C72" s="128">
        <f aca="true" t="shared" si="109" ref="C72:L72">IF(C71&lt;12,12,C71)</f>
        <v>38</v>
      </c>
      <c r="D72" s="5">
        <f t="shared" si="109"/>
        <v>36</v>
      </c>
      <c r="E72" s="128">
        <f t="shared" si="109"/>
        <v>12</v>
      </c>
      <c r="F72" s="5">
        <f t="shared" si="109"/>
        <v>16</v>
      </c>
      <c r="G72" s="128">
        <f t="shared" si="109"/>
        <v>14</v>
      </c>
      <c r="H72" s="5">
        <f t="shared" si="109"/>
        <v>14</v>
      </c>
      <c r="I72" s="62">
        <f t="shared" si="109"/>
        <v>20</v>
      </c>
      <c r="J72" s="128">
        <f t="shared" si="109"/>
        <v>35</v>
      </c>
      <c r="K72" s="5">
        <f t="shared" si="109"/>
        <v>12</v>
      </c>
      <c r="L72" s="128">
        <f t="shared" si="109"/>
        <v>30</v>
      </c>
      <c r="M72" s="5">
        <f aca="true" t="shared" si="110" ref="M72:V72">IF(M71&lt;12,12,M71)</f>
        <v>12</v>
      </c>
      <c r="N72" s="128">
        <f t="shared" si="110"/>
        <v>15</v>
      </c>
      <c r="O72" s="5">
        <f t="shared" si="110"/>
        <v>12</v>
      </c>
      <c r="P72" s="128">
        <f t="shared" si="110"/>
        <v>15</v>
      </c>
      <c r="Q72" s="5">
        <f t="shared" si="110"/>
        <v>12</v>
      </c>
      <c r="R72" s="128">
        <f t="shared" si="110"/>
        <v>14</v>
      </c>
      <c r="S72" s="128">
        <f t="shared" si="110"/>
        <v>15</v>
      </c>
      <c r="T72" s="243">
        <f t="shared" si="110"/>
        <v>14</v>
      </c>
      <c r="U72" s="128">
        <f t="shared" si="110"/>
        <v>25</v>
      </c>
      <c r="V72" s="128">
        <f t="shared" si="110"/>
        <v>12</v>
      </c>
      <c r="W72" s="62">
        <f aca="true" t="shared" si="111" ref="W72:AJ72">IF(W71&lt;12,12,W71)</f>
        <v>18</v>
      </c>
      <c r="X72" s="128">
        <f t="shared" si="111"/>
        <v>13</v>
      </c>
      <c r="Y72" s="5">
        <f t="shared" si="111"/>
        <v>12</v>
      </c>
      <c r="Z72" s="128">
        <f t="shared" si="111"/>
        <v>13</v>
      </c>
      <c r="AA72" s="5">
        <f t="shared" si="111"/>
        <v>16</v>
      </c>
      <c r="AB72" s="128">
        <f t="shared" si="111"/>
        <v>12</v>
      </c>
      <c r="AC72" s="128">
        <f t="shared" si="111"/>
        <v>15</v>
      </c>
      <c r="AD72" s="243">
        <f t="shared" si="111"/>
        <v>12</v>
      </c>
      <c r="AE72" s="5">
        <f t="shared" si="111"/>
        <v>12</v>
      </c>
      <c r="AF72" s="128">
        <f t="shared" si="111"/>
        <v>12</v>
      </c>
      <c r="AG72" s="5">
        <f t="shared" si="111"/>
        <v>12</v>
      </c>
      <c r="AH72" s="128">
        <f t="shared" si="111"/>
        <v>13</v>
      </c>
      <c r="AI72" s="5">
        <f t="shared" si="111"/>
        <v>38</v>
      </c>
      <c r="AJ72" s="128">
        <f t="shared" si="111"/>
        <v>46</v>
      </c>
      <c r="AN72" s="142"/>
      <c r="AO72" s="62">
        <f>IF(AO71&lt;12,12,AO71)</f>
        <v>30</v>
      </c>
      <c r="AP72" s="128">
        <v>30</v>
      </c>
      <c r="AQ72" s="5">
        <v>30</v>
      </c>
      <c r="AR72" s="128">
        <v>30</v>
      </c>
      <c r="AS72" s="5">
        <v>30</v>
      </c>
      <c r="AT72" s="128">
        <v>30</v>
      </c>
      <c r="AU72" s="5">
        <v>30</v>
      </c>
      <c r="AV72" s="128">
        <v>30</v>
      </c>
      <c r="BA72" s="285"/>
      <c r="BB72" s="285"/>
    </row>
    <row r="73" spans="1:54" ht="15.75">
      <c r="A73" s="55" t="s">
        <v>319</v>
      </c>
      <c r="B73" s="13"/>
      <c r="C73" s="141">
        <v>4</v>
      </c>
      <c r="D73" s="3">
        <v>4</v>
      </c>
      <c r="E73" s="141">
        <v>4</v>
      </c>
      <c r="F73" s="3">
        <v>4</v>
      </c>
      <c r="G73" s="141">
        <v>4</v>
      </c>
      <c r="H73" s="3">
        <v>4</v>
      </c>
      <c r="I73" s="61">
        <v>4</v>
      </c>
      <c r="J73" s="141">
        <v>4</v>
      </c>
      <c r="K73" s="3">
        <v>4</v>
      </c>
      <c r="L73" s="141">
        <v>4</v>
      </c>
      <c r="M73" s="3">
        <v>4</v>
      </c>
      <c r="N73" s="141">
        <v>4</v>
      </c>
      <c r="O73" s="3">
        <v>4</v>
      </c>
      <c r="P73" s="141">
        <v>4</v>
      </c>
      <c r="Q73" s="3">
        <v>4</v>
      </c>
      <c r="R73" s="141">
        <v>4</v>
      </c>
      <c r="S73" s="141">
        <v>4</v>
      </c>
      <c r="T73" s="211">
        <v>4</v>
      </c>
      <c r="U73" s="141">
        <v>4</v>
      </c>
      <c r="V73" s="141">
        <v>4</v>
      </c>
      <c r="W73" s="61">
        <v>4</v>
      </c>
      <c r="X73" s="141">
        <v>4</v>
      </c>
      <c r="Y73" s="3">
        <v>4</v>
      </c>
      <c r="Z73" s="141">
        <v>4</v>
      </c>
      <c r="AA73" s="3">
        <v>4</v>
      </c>
      <c r="AB73" s="141">
        <v>4</v>
      </c>
      <c r="AC73" s="141">
        <v>4</v>
      </c>
      <c r="AD73" s="211">
        <v>4</v>
      </c>
      <c r="AE73" s="3">
        <v>4</v>
      </c>
      <c r="AF73" s="141">
        <v>4</v>
      </c>
      <c r="AG73" s="3">
        <v>4</v>
      </c>
      <c r="AH73" s="141">
        <v>4</v>
      </c>
      <c r="AI73" s="3">
        <v>4</v>
      </c>
      <c r="AJ73" s="141">
        <v>4</v>
      </c>
      <c r="AK73" s="3"/>
      <c r="AL73" s="3"/>
      <c r="AM73" s="3"/>
      <c r="AN73" s="141"/>
      <c r="AO73" s="61">
        <v>5</v>
      </c>
      <c r="AP73" s="141">
        <v>5</v>
      </c>
      <c r="AQ73" s="3">
        <v>5</v>
      </c>
      <c r="AR73" s="141">
        <v>5</v>
      </c>
      <c r="AS73" s="3">
        <v>5</v>
      </c>
      <c r="AT73" s="141">
        <v>5</v>
      </c>
      <c r="AU73" s="3">
        <v>5</v>
      </c>
      <c r="AV73" s="141">
        <v>5</v>
      </c>
      <c r="AW73" s="3"/>
      <c r="AX73" s="3"/>
      <c r="AY73" s="3"/>
      <c r="AZ73" s="3"/>
      <c r="BA73" s="285"/>
      <c r="BB73" s="285"/>
    </row>
    <row r="74" spans="1:54" ht="15.75">
      <c r="A74" s="55" t="s">
        <v>320</v>
      </c>
      <c r="B74" s="13"/>
      <c r="C74" s="128">
        <f aca="true" t="shared" si="112" ref="C74:L74">C72+C73</f>
        <v>42</v>
      </c>
      <c r="D74" s="5">
        <f t="shared" si="112"/>
        <v>40</v>
      </c>
      <c r="E74" s="128">
        <f t="shared" si="112"/>
        <v>16</v>
      </c>
      <c r="F74" s="5">
        <f t="shared" si="112"/>
        <v>20</v>
      </c>
      <c r="G74" s="128">
        <f t="shared" si="112"/>
        <v>18</v>
      </c>
      <c r="H74" s="5">
        <f t="shared" si="112"/>
        <v>18</v>
      </c>
      <c r="I74" s="62">
        <f t="shared" si="112"/>
        <v>24</v>
      </c>
      <c r="J74" s="128">
        <f t="shared" si="112"/>
        <v>39</v>
      </c>
      <c r="K74" s="5">
        <f t="shared" si="112"/>
        <v>16</v>
      </c>
      <c r="L74" s="128">
        <f t="shared" si="112"/>
        <v>34</v>
      </c>
      <c r="M74" s="5">
        <f aca="true" t="shared" si="113" ref="M74:V74">M72+M73</f>
        <v>16</v>
      </c>
      <c r="N74" s="128">
        <f t="shared" si="113"/>
        <v>19</v>
      </c>
      <c r="O74" s="5">
        <f t="shared" si="113"/>
        <v>16</v>
      </c>
      <c r="P74" s="128">
        <f t="shared" si="113"/>
        <v>19</v>
      </c>
      <c r="Q74" s="5">
        <f t="shared" si="113"/>
        <v>16</v>
      </c>
      <c r="R74" s="128">
        <f t="shared" si="113"/>
        <v>18</v>
      </c>
      <c r="S74" s="128">
        <f t="shared" si="113"/>
        <v>19</v>
      </c>
      <c r="T74" s="243">
        <f t="shared" si="113"/>
        <v>18</v>
      </c>
      <c r="U74" s="128">
        <f t="shared" si="113"/>
        <v>29</v>
      </c>
      <c r="V74" s="128">
        <f t="shared" si="113"/>
        <v>16</v>
      </c>
      <c r="W74" s="62">
        <f aca="true" t="shared" si="114" ref="W74:AJ74">W72+W73</f>
        <v>22</v>
      </c>
      <c r="X74" s="128">
        <f t="shared" si="114"/>
        <v>17</v>
      </c>
      <c r="Y74" s="5">
        <f t="shared" si="114"/>
        <v>16</v>
      </c>
      <c r="Z74" s="128">
        <f t="shared" si="114"/>
        <v>17</v>
      </c>
      <c r="AA74" s="5">
        <f t="shared" si="114"/>
        <v>20</v>
      </c>
      <c r="AB74" s="128">
        <f t="shared" si="114"/>
        <v>16</v>
      </c>
      <c r="AC74" s="128">
        <f t="shared" si="114"/>
        <v>19</v>
      </c>
      <c r="AD74" s="243">
        <f t="shared" si="114"/>
        <v>16</v>
      </c>
      <c r="AE74" s="5">
        <f t="shared" si="114"/>
        <v>16</v>
      </c>
      <c r="AF74" s="128">
        <f t="shared" si="114"/>
        <v>16</v>
      </c>
      <c r="AG74" s="5">
        <f t="shared" si="114"/>
        <v>16</v>
      </c>
      <c r="AH74" s="128">
        <f t="shared" si="114"/>
        <v>17</v>
      </c>
      <c r="AI74" s="5">
        <f t="shared" si="114"/>
        <v>42</v>
      </c>
      <c r="AJ74" s="128">
        <f t="shared" si="114"/>
        <v>50</v>
      </c>
      <c r="AN74" s="142"/>
      <c r="AO74" s="12"/>
      <c r="AP74" s="142"/>
      <c r="AR74" s="142"/>
      <c r="AT74" s="142"/>
      <c r="AV74" s="142"/>
      <c r="BA74" s="285"/>
      <c r="BB74" s="285"/>
    </row>
    <row r="75" spans="1:54" ht="15.75">
      <c r="A75" s="55" t="s">
        <v>321</v>
      </c>
      <c r="B75" s="13"/>
      <c r="C75" s="128">
        <v>38</v>
      </c>
      <c r="D75" s="5">
        <v>38</v>
      </c>
      <c r="E75" s="128">
        <v>18</v>
      </c>
      <c r="F75" s="5">
        <v>18</v>
      </c>
      <c r="G75" s="128">
        <v>18</v>
      </c>
      <c r="H75" s="5">
        <v>18</v>
      </c>
      <c r="I75" s="62">
        <v>18</v>
      </c>
      <c r="J75" s="128">
        <v>18</v>
      </c>
      <c r="K75" s="5">
        <v>18</v>
      </c>
      <c r="L75" s="128">
        <v>18</v>
      </c>
      <c r="M75" s="5">
        <v>18</v>
      </c>
      <c r="N75" s="128">
        <v>18</v>
      </c>
      <c r="O75" s="5">
        <v>18</v>
      </c>
      <c r="P75" s="128">
        <v>18</v>
      </c>
      <c r="Q75" s="5">
        <v>18</v>
      </c>
      <c r="R75" s="128">
        <v>18</v>
      </c>
      <c r="S75" s="128">
        <v>18</v>
      </c>
      <c r="T75" s="243">
        <v>18</v>
      </c>
      <c r="U75" s="128">
        <v>18</v>
      </c>
      <c r="V75" s="128">
        <v>18</v>
      </c>
      <c r="W75" s="62">
        <v>18</v>
      </c>
      <c r="X75" s="128">
        <v>18</v>
      </c>
      <c r="Y75" s="5">
        <v>18</v>
      </c>
      <c r="Z75" s="128">
        <v>18</v>
      </c>
      <c r="AA75" s="5">
        <v>18</v>
      </c>
      <c r="AB75" s="128">
        <v>18</v>
      </c>
      <c r="AC75" s="128">
        <v>18</v>
      </c>
      <c r="AD75" s="243">
        <v>18</v>
      </c>
      <c r="AE75" s="5">
        <v>18</v>
      </c>
      <c r="AF75" s="128">
        <v>18</v>
      </c>
      <c r="AG75" s="5">
        <v>18</v>
      </c>
      <c r="AH75" s="128">
        <v>18</v>
      </c>
      <c r="AI75" s="5">
        <v>55</v>
      </c>
      <c r="AJ75" s="128">
        <v>55</v>
      </c>
      <c r="AN75" s="142"/>
      <c r="AO75" s="12"/>
      <c r="AP75" s="142"/>
      <c r="AR75" s="142"/>
      <c r="AT75" s="142"/>
      <c r="AV75" s="142"/>
      <c r="BA75" s="285"/>
      <c r="BB75" s="285"/>
    </row>
    <row r="76" spans="1:54" ht="15.75">
      <c r="A76" s="55" t="s">
        <v>322</v>
      </c>
      <c r="B76" s="13"/>
      <c r="C76" s="128">
        <f aca="true" t="shared" si="115" ref="C76:L76">IF(C74&gt;C75,C75,C74)</f>
        <v>38</v>
      </c>
      <c r="D76" s="5">
        <f t="shared" si="115"/>
        <v>38</v>
      </c>
      <c r="E76" s="128">
        <f t="shared" si="115"/>
        <v>16</v>
      </c>
      <c r="F76" s="5">
        <f t="shared" si="115"/>
        <v>18</v>
      </c>
      <c r="G76" s="128">
        <f t="shared" si="115"/>
        <v>18</v>
      </c>
      <c r="H76" s="5">
        <f t="shared" si="115"/>
        <v>18</v>
      </c>
      <c r="I76" s="62">
        <f t="shared" si="115"/>
        <v>18</v>
      </c>
      <c r="J76" s="128">
        <f t="shared" si="115"/>
        <v>18</v>
      </c>
      <c r="K76" s="5">
        <f t="shared" si="115"/>
        <v>16</v>
      </c>
      <c r="L76" s="128">
        <f t="shared" si="115"/>
        <v>18</v>
      </c>
      <c r="M76" s="5">
        <f aca="true" t="shared" si="116" ref="M76:V76">IF(M74&gt;M75,M75,M74)</f>
        <v>16</v>
      </c>
      <c r="N76" s="128">
        <f t="shared" si="116"/>
        <v>18</v>
      </c>
      <c r="O76" s="5">
        <f t="shared" si="116"/>
        <v>16</v>
      </c>
      <c r="P76" s="128">
        <f t="shared" si="116"/>
        <v>18</v>
      </c>
      <c r="Q76" s="5">
        <f t="shared" si="116"/>
        <v>16</v>
      </c>
      <c r="R76" s="128">
        <f t="shared" si="116"/>
        <v>18</v>
      </c>
      <c r="S76" s="128">
        <f t="shared" si="116"/>
        <v>18</v>
      </c>
      <c r="T76" s="243">
        <f t="shared" si="116"/>
        <v>18</v>
      </c>
      <c r="U76" s="128">
        <f t="shared" si="116"/>
        <v>18</v>
      </c>
      <c r="V76" s="128">
        <f t="shared" si="116"/>
        <v>16</v>
      </c>
      <c r="W76" s="62">
        <f aca="true" t="shared" si="117" ref="W76:AJ76">IF(W74&gt;W75,W75,W74)</f>
        <v>18</v>
      </c>
      <c r="X76" s="128">
        <f t="shared" si="117"/>
        <v>17</v>
      </c>
      <c r="Y76" s="5">
        <f t="shared" si="117"/>
        <v>16</v>
      </c>
      <c r="Z76" s="128">
        <f t="shared" si="117"/>
        <v>17</v>
      </c>
      <c r="AA76" s="5">
        <f t="shared" si="117"/>
        <v>18</v>
      </c>
      <c r="AB76" s="128">
        <f t="shared" si="117"/>
        <v>16</v>
      </c>
      <c r="AC76" s="128">
        <f t="shared" si="117"/>
        <v>18</v>
      </c>
      <c r="AD76" s="243">
        <f t="shared" si="117"/>
        <v>16</v>
      </c>
      <c r="AE76" s="5">
        <f t="shared" si="117"/>
        <v>16</v>
      </c>
      <c r="AF76" s="128">
        <f t="shared" si="117"/>
        <v>16</v>
      </c>
      <c r="AG76" s="5">
        <f t="shared" si="117"/>
        <v>16</v>
      </c>
      <c r="AH76" s="128">
        <f t="shared" si="117"/>
        <v>17</v>
      </c>
      <c r="AI76" s="5">
        <f t="shared" si="117"/>
        <v>42</v>
      </c>
      <c r="AJ76" s="128">
        <f t="shared" si="117"/>
        <v>50</v>
      </c>
      <c r="AN76" s="286" t="s">
        <v>323</v>
      </c>
      <c r="AO76" s="62">
        <f aca="true" t="shared" si="118" ref="AO76:AV76">AO72+AO73</f>
        <v>35</v>
      </c>
      <c r="AP76" s="128">
        <f t="shared" si="118"/>
        <v>35</v>
      </c>
      <c r="AQ76" s="5">
        <f t="shared" si="118"/>
        <v>35</v>
      </c>
      <c r="AR76" s="128">
        <f t="shared" si="118"/>
        <v>35</v>
      </c>
      <c r="AS76" s="5">
        <f t="shared" si="118"/>
        <v>35</v>
      </c>
      <c r="AT76" s="128">
        <f t="shared" si="118"/>
        <v>35</v>
      </c>
      <c r="AU76" s="5">
        <f t="shared" si="118"/>
        <v>35</v>
      </c>
      <c r="AV76" s="128">
        <f t="shared" si="118"/>
        <v>35</v>
      </c>
      <c r="BA76" s="285"/>
      <c r="BB76" s="285"/>
    </row>
    <row r="77" spans="1:54" ht="15.75">
      <c r="A77" s="59" t="s">
        <v>324</v>
      </c>
      <c r="B77" s="27"/>
      <c r="C77" s="212"/>
      <c r="D77" s="15"/>
      <c r="E77" s="212"/>
      <c r="F77" s="15"/>
      <c r="G77" s="212"/>
      <c r="H77" s="15"/>
      <c r="I77" s="14"/>
      <c r="J77" s="212"/>
      <c r="K77" s="15"/>
      <c r="L77" s="212"/>
      <c r="M77" s="15"/>
      <c r="N77" s="212"/>
      <c r="O77" s="15"/>
      <c r="P77" s="212"/>
      <c r="Q77" s="15"/>
      <c r="R77" s="212"/>
      <c r="S77" s="212"/>
      <c r="T77" s="16"/>
      <c r="U77" s="212"/>
      <c r="V77" s="212"/>
      <c r="W77" s="14"/>
      <c r="X77" s="212"/>
      <c r="Y77" s="15"/>
      <c r="Z77" s="212"/>
      <c r="AA77" s="15"/>
      <c r="AB77" s="212"/>
      <c r="AC77" s="212"/>
      <c r="AD77" s="16"/>
      <c r="AE77" s="15"/>
      <c r="AF77" s="212"/>
      <c r="AG77" s="15"/>
      <c r="AH77" s="212"/>
      <c r="AI77" s="15"/>
      <c r="AJ77" s="212"/>
      <c r="AN77" s="142"/>
      <c r="AO77" s="14"/>
      <c r="AP77" s="212"/>
      <c r="AQ77" s="15"/>
      <c r="AR77" s="212"/>
      <c r="AS77" s="15"/>
      <c r="AT77" s="212"/>
      <c r="AU77" s="15"/>
      <c r="AV77" s="212"/>
      <c r="BA77" s="285"/>
      <c r="BB77" s="285"/>
    </row>
    <row r="78" spans="1:54" ht="15.75">
      <c r="A78" s="55" t="s">
        <v>325</v>
      </c>
      <c r="B78" s="13"/>
      <c r="C78" s="128">
        <v>15</v>
      </c>
      <c r="D78" s="5">
        <v>15</v>
      </c>
      <c r="E78" s="128">
        <v>8</v>
      </c>
      <c r="F78" s="5">
        <v>8</v>
      </c>
      <c r="G78" s="128">
        <v>8</v>
      </c>
      <c r="H78" s="5">
        <v>8</v>
      </c>
      <c r="I78" s="62">
        <v>8</v>
      </c>
      <c r="J78" s="128">
        <v>8</v>
      </c>
      <c r="K78" s="5">
        <v>8</v>
      </c>
      <c r="L78" s="128">
        <v>8</v>
      </c>
      <c r="M78" s="5">
        <v>8</v>
      </c>
      <c r="N78" s="128">
        <v>8</v>
      </c>
      <c r="O78" s="5">
        <v>8</v>
      </c>
      <c r="P78" s="128">
        <v>8</v>
      </c>
      <c r="Q78" s="5">
        <v>8</v>
      </c>
      <c r="R78" s="128">
        <v>8</v>
      </c>
      <c r="S78" s="128">
        <v>8</v>
      </c>
      <c r="T78" s="243">
        <v>8</v>
      </c>
      <c r="U78" s="128">
        <v>8</v>
      </c>
      <c r="V78" s="128">
        <v>8</v>
      </c>
      <c r="W78" s="62">
        <v>8</v>
      </c>
      <c r="X78" s="128">
        <v>8</v>
      </c>
      <c r="Y78" s="5">
        <v>8</v>
      </c>
      <c r="Z78" s="128">
        <v>8</v>
      </c>
      <c r="AA78" s="5">
        <v>8</v>
      </c>
      <c r="AB78" s="128">
        <v>8</v>
      </c>
      <c r="AC78" s="128">
        <v>8</v>
      </c>
      <c r="AD78" s="243">
        <v>8</v>
      </c>
      <c r="AE78" s="5">
        <v>8</v>
      </c>
      <c r="AF78" s="128">
        <v>8</v>
      </c>
      <c r="AG78" s="5">
        <v>8</v>
      </c>
      <c r="AH78" s="128">
        <v>8</v>
      </c>
      <c r="AI78" s="5">
        <v>10</v>
      </c>
      <c r="AJ78" s="128">
        <v>10</v>
      </c>
      <c r="AN78" s="142"/>
      <c r="AO78" s="12"/>
      <c r="AP78" s="142"/>
      <c r="AR78" s="142"/>
      <c r="AT78" s="142"/>
      <c r="AV78" s="142"/>
      <c r="BA78" s="285"/>
      <c r="BB78" s="285"/>
    </row>
    <row r="79" spans="1:54" ht="15.75">
      <c r="A79" s="55" t="s">
        <v>326</v>
      </c>
      <c r="B79" s="13"/>
      <c r="C79" s="128">
        <v>20</v>
      </c>
      <c r="D79" s="5">
        <v>20</v>
      </c>
      <c r="E79" s="128">
        <v>12</v>
      </c>
      <c r="F79" s="5">
        <v>12</v>
      </c>
      <c r="G79" s="128">
        <v>12</v>
      </c>
      <c r="H79" s="5">
        <v>12</v>
      </c>
      <c r="I79" s="62">
        <v>12</v>
      </c>
      <c r="J79" s="128">
        <v>12</v>
      </c>
      <c r="K79" s="5">
        <v>12</v>
      </c>
      <c r="L79" s="128">
        <v>12</v>
      </c>
      <c r="M79" s="5">
        <v>12</v>
      </c>
      <c r="N79" s="128">
        <v>12</v>
      </c>
      <c r="O79" s="5">
        <v>12</v>
      </c>
      <c r="P79" s="128">
        <v>12</v>
      </c>
      <c r="Q79" s="5">
        <v>12</v>
      </c>
      <c r="R79" s="128">
        <v>12</v>
      </c>
      <c r="S79" s="128">
        <v>12</v>
      </c>
      <c r="T79" s="243">
        <v>12</v>
      </c>
      <c r="U79" s="128">
        <v>12</v>
      </c>
      <c r="V79" s="128">
        <v>12</v>
      </c>
      <c r="W79" s="62">
        <v>12</v>
      </c>
      <c r="X79" s="128">
        <v>12</v>
      </c>
      <c r="Y79" s="5">
        <v>12</v>
      </c>
      <c r="Z79" s="128">
        <v>12</v>
      </c>
      <c r="AA79" s="5">
        <v>12</v>
      </c>
      <c r="AB79" s="128">
        <v>12</v>
      </c>
      <c r="AC79" s="128">
        <v>12</v>
      </c>
      <c r="AD79" s="243">
        <v>12</v>
      </c>
      <c r="AE79" s="5">
        <v>12</v>
      </c>
      <c r="AF79" s="128">
        <v>12</v>
      </c>
      <c r="AG79" s="5">
        <v>12</v>
      </c>
      <c r="AH79" s="128">
        <v>12</v>
      </c>
      <c r="AI79" s="5">
        <v>20</v>
      </c>
      <c r="AJ79" s="128">
        <v>20</v>
      </c>
      <c r="AN79" s="142"/>
      <c r="AO79" s="12"/>
      <c r="AP79" s="142"/>
      <c r="AR79" s="142"/>
      <c r="AT79" s="142"/>
      <c r="AV79" s="142"/>
      <c r="BA79" s="285"/>
      <c r="BB79" s="285"/>
    </row>
    <row r="80" spans="1:54" ht="15.75">
      <c r="A80" s="55" t="s">
        <v>327</v>
      </c>
      <c r="B80" s="13"/>
      <c r="C80" s="128">
        <v>17</v>
      </c>
      <c r="D80" s="5">
        <v>17</v>
      </c>
      <c r="E80" s="128">
        <v>10</v>
      </c>
      <c r="F80" s="5">
        <v>10</v>
      </c>
      <c r="G80" s="128">
        <v>10</v>
      </c>
      <c r="H80" s="5">
        <v>10</v>
      </c>
      <c r="I80" s="62">
        <v>10</v>
      </c>
      <c r="J80" s="128">
        <v>10</v>
      </c>
      <c r="K80" s="5">
        <v>10</v>
      </c>
      <c r="L80" s="128">
        <v>10</v>
      </c>
      <c r="M80" s="5">
        <v>10</v>
      </c>
      <c r="N80" s="128">
        <v>10</v>
      </c>
      <c r="O80" s="5">
        <v>10</v>
      </c>
      <c r="P80" s="128">
        <v>10</v>
      </c>
      <c r="Q80" s="5">
        <v>10</v>
      </c>
      <c r="R80" s="128">
        <v>10</v>
      </c>
      <c r="S80" s="128">
        <v>10</v>
      </c>
      <c r="T80" s="243">
        <v>10</v>
      </c>
      <c r="U80" s="128">
        <v>10</v>
      </c>
      <c r="V80" s="128">
        <v>10</v>
      </c>
      <c r="W80" s="62">
        <v>10</v>
      </c>
      <c r="X80" s="128">
        <v>10</v>
      </c>
      <c r="Y80" s="5">
        <v>10</v>
      </c>
      <c r="Z80" s="128">
        <v>10</v>
      </c>
      <c r="AA80" s="5">
        <v>10</v>
      </c>
      <c r="AB80" s="128">
        <v>10</v>
      </c>
      <c r="AC80" s="128">
        <v>10</v>
      </c>
      <c r="AD80" s="243">
        <v>10</v>
      </c>
      <c r="AE80" s="5">
        <v>10</v>
      </c>
      <c r="AF80" s="128">
        <v>10</v>
      </c>
      <c r="AG80" s="5">
        <v>10</v>
      </c>
      <c r="AH80" s="128">
        <v>10</v>
      </c>
      <c r="AI80" s="5">
        <v>20</v>
      </c>
      <c r="AJ80" s="128">
        <v>20</v>
      </c>
      <c r="AN80" s="142"/>
      <c r="AO80" s="12"/>
      <c r="AP80" s="142"/>
      <c r="AR80" s="142"/>
      <c r="AT80" s="142"/>
      <c r="AV80" s="142"/>
      <c r="BA80" s="285"/>
      <c r="BB80" s="285"/>
    </row>
    <row r="81" spans="1:54" ht="15.75">
      <c r="A81" s="12"/>
      <c r="B81" s="63" t="s">
        <v>328</v>
      </c>
      <c r="C81" s="141">
        <v>25</v>
      </c>
      <c r="D81" s="3">
        <v>25</v>
      </c>
      <c r="E81" s="141">
        <v>26</v>
      </c>
      <c r="F81" s="3">
        <v>26</v>
      </c>
      <c r="G81" s="141">
        <v>26</v>
      </c>
      <c r="H81" s="3">
        <v>26</v>
      </c>
      <c r="I81" s="61">
        <v>27</v>
      </c>
      <c r="J81" s="141">
        <v>27</v>
      </c>
      <c r="K81" s="3">
        <v>26</v>
      </c>
      <c r="L81" s="141">
        <v>26</v>
      </c>
      <c r="M81" s="3">
        <v>26</v>
      </c>
      <c r="N81" s="141">
        <v>26</v>
      </c>
      <c r="O81" s="3">
        <v>26</v>
      </c>
      <c r="P81" s="141">
        <v>26</v>
      </c>
      <c r="Q81" s="3">
        <v>26</v>
      </c>
      <c r="R81" s="141">
        <v>26</v>
      </c>
      <c r="S81" s="141">
        <v>27</v>
      </c>
      <c r="T81" s="211">
        <v>27</v>
      </c>
      <c r="U81" s="141">
        <v>22</v>
      </c>
      <c r="V81" s="141">
        <v>22</v>
      </c>
      <c r="W81" s="61">
        <v>22</v>
      </c>
      <c r="X81" s="141">
        <v>22</v>
      </c>
      <c r="Y81" s="3">
        <v>26</v>
      </c>
      <c r="Z81" s="141">
        <v>26</v>
      </c>
      <c r="AA81" s="3">
        <v>26</v>
      </c>
      <c r="AB81" s="141">
        <v>26</v>
      </c>
      <c r="AC81" s="141">
        <v>26</v>
      </c>
      <c r="AD81" s="211">
        <v>26</v>
      </c>
      <c r="AE81" s="3">
        <v>22</v>
      </c>
      <c r="AF81" s="141">
        <v>22</v>
      </c>
      <c r="AG81" s="3">
        <v>26</v>
      </c>
      <c r="AH81" s="141">
        <v>26</v>
      </c>
      <c r="AI81" s="3">
        <v>48</v>
      </c>
      <c r="AJ81" s="141">
        <v>48</v>
      </c>
      <c r="AK81" s="1" t="s">
        <v>329</v>
      </c>
      <c r="AN81" s="286" t="s">
        <v>330</v>
      </c>
      <c r="AO81" s="61">
        <v>25</v>
      </c>
      <c r="AP81" s="141">
        <v>25</v>
      </c>
      <c r="AQ81" s="3">
        <v>25</v>
      </c>
      <c r="AR81" s="141">
        <v>25</v>
      </c>
      <c r="AS81" s="3">
        <v>25</v>
      </c>
      <c r="AT81" s="141">
        <v>25</v>
      </c>
      <c r="AU81" s="3">
        <v>25</v>
      </c>
      <c r="AV81" s="141">
        <v>25</v>
      </c>
      <c r="BA81" s="285"/>
      <c r="BB81" s="285"/>
    </row>
    <row r="82" spans="1:54" ht="15.75">
      <c r="A82" s="47" t="s">
        <v>331</v>
      </c>
      <c r="B82" s="13"/>
      <c r="C82" s="128">
        <f aca="true" t="shared" si="119" ref="C82:L82">($F$4*C78/C81/10)+($I$4*C79/C81/10)+($H$4*C80/C81/10)</f>
        <v>0.684252</v>
      </c>
      <c r="D82" s="5">
        <f t="shared" si="119"/>
        <v>0.684252</v>
      </c>
      <c r="E82" s="128">
        <f t="shared" si="119"/>
        <v>0.37301538461538464</v>
      </c>
      <c r="F82" s="5">
        <f t="shared" si="119"/>
        <v>0.37301538461538464</v>
      </c>
      <c r="G82" s="128">
        <f t="shared" si="119"/>
        <v>0.37301538461538464</v>
      </c>
      <c r="H82" s="5">
        <f t="shared" si="119"/>
        <v>0.37301538461538464</v>
      </c>
      <c r="I82" s="62">
        <f t="shared" si="119"/>
        <v>0.3592</v>
      </c>
      <c r="J82" s="128">
        <f t="shared" si="119"/>
        <v>0.3592</v>
      </c>
      <c r="K82" s="5">
        <f t="shared" si="119"/>
        <v>0.37301538461538464</v>
      </c>
      <c r="L82" s="128">
        <f t="shared" si="119"/>
        <v>0.37301538461538464</v>
      </c>
      <c r="M82" s="5">
        <f aca="true" t="shared" si="120" ref="M82:V82">($F$4*M78/M81/10)+($I$4*M79/M81/10)+($H$4*M80/M81/10)</f>
        <v>0.37301538461538464</v>
      </c>
      <c r="N82" s="128">
        <f t="shared" si="120"/>
        <v>0.37301538461538464</v>
      </c>
      <c r="O82" s="5">
        <f t="shared" si="120"/>
        <v>0.37301538461538464</v>
      </c>
      <c r="P82" s="128">
        <f t="shared" si="120"/>
        <v>0.37301538461538464</v>
      </c>
      <c r="Q82" s="5">
        <f t="shared" si="120"/>
        <v>0.37301538461538464</v>
      </c>
      <c r="R82" s="128">
        <f t="shared" si="120"/>
        <v>0.37301538461538464</v>
      </c>
      <c r="S82" s="128">
        <f t="shared" si="120"/>
        <v>0.3592</v>
      </c>
      <c r="T82" s="243">
        <f t="shared" si="120"/>
        <v>0.3592</v>
      </c>
      <c r="U82" s="128">
        <f t="shared" si="120"/>
        <v>0.44083636363636364</v>
      </c>
      <c r="V82" s="128">
        <f t="shared" si="120"/>
        <v>0.44083636363636364</v>
      </c>
      <c r="W82" s="62">
        <f aca="true" t="shared" si="121" ref="W82:AH82">($F$4*W78/W81/10)+($I$4*W79/W81/10)+($H$4*W80/W81/10)</f>
        <v>0.44083636363636364</v>
      </c>
      <c r="X82" s="128">
        <f t="shared" si="121"/>
        <v>0.44083636363636364</v>
      </c>
      <c r="Y82" s="5">
        <f t="shared" si="121"/>
        <v>0.37301538461538464</v>
      </c>
      <c r="Z82" s="128">
        <f t="shared" si="121"/>
        <v>0.37301538461538464</v>
      </c>
      <c r="AA82" s="5">
        <f t="shared" si="121"/>
        <v>0.37301538461538464</v>
      </c>
      <c r="AB82" s="128">
        <f t="shared" si="121"/>
        <v>0.37301538461538464</v>
      </c>
      <c r="AC82" s="128">
        <f t="shared" si="121"/>
        <v>0.37301538461538464</v>
      </c>
      <c r="AD82" s="243">
        <f t="shared" si="121"/>
        <v>0.37301538461538464</v>
      </c>
      <c r="AE82" s="5">
        <f t="shared" si="121"/>
        <v>0.44083636363636364</v>
      </c>
      <c r="AF82" s="128">
        <f t="shared" si="121"/>
        <v>0.44083636363636364</v>
      </c>
      <c r="AG82" s="5">
        <f t="shared" si="121"/>
        <v>0.37301538461538464</v>
      </c>
      <c r="AH82" s="128">
        <f t="shared" si="121"/>
        <v>0.37301538461538464</v>
      </c>
      <c r="AI82" s="5">
        <f>($AE$4*AI78/AI81/10)+($AH$4*AI79/AI81/10)+($AG$4*AI80/AI81/10)</f>
        <v>0.19764583333333335</v>
      </c>
      <c r="AJ82" s="128">
        <f>($AE$4*AJ78/AJ81/10)+($AH$4*AJ79/AJ81/10)+($AG$4*AJ80/AJ81/10)</f>
        <v>0.19764583333333335</v>
      </c>
      <c r="AN82" s="287">
        <v>20</v>
      </c>
      <c r="AO82" s="62">
        <f aca="true" t="shared" si="122" ref="AO82:AV82">($AO$3*$AN$82/AO81/10)</f>
        <v>0.45048000000000005</v>
      </c>
      <c r="AP82" s="128">
        <f t="shared" si="122"/>
        <v>0.45048000000000005</v>
      </c>
      <c r="AQ82" s="5">
        <f t="shared" si="122"/>
        <v>0.45048000000000005</v>
      </c>
      <c r="AR82" s="128">
        <f t="shared" si="122"/>
        <v>0.45048000000000005</v>
      </c>
      <c r="AS82" s="5">
        <f t="shared" si="122"/>
        <v>0.45048000000000005</v>
      </c>
      <c r="AT82" s="128">
        <f t="shared" si="122"/>
        <v>0.45048000000000005</v>
      </c>
      <c r="AU82" s="6">
        <f t="shared" si="122"/>
        <v>0.45048000000000005</v>
      </c>
      <c r="AV82" s="288">
        <f t="shared" si="122"/>
        <v>0.45048000000000005</v>
      </c>
      <c r="BA82" s="285"/>
      <c r="BB82" s="285"/>
    </row>
    <row r="83" spans="1:54" ht="15.75">
      <c r="A83" s="59" t="s">
        <v>315</v>
      </c>
      <c r="B83" s="16"/>
      <c r="C83" s="118"/>
      <c r="D83" s="124"/>
      <c r="E83" s="118"/>
      <c r="F83" s="124"/>
      <c r="G83" s="118"/>
      <c r="H83" s="124"/>
      <c r="I83" s="65"/>
      <c r="J83" s="118"/>
      <c r="K83" s="124"/>
      <c r="L83" s="118"/>
      <c r="M83" s="124"/>
      <c r="N83" s="118"/>
      <c r="O83" s="124"/>
      <c r="P83" s="118"/>
      <c r="Q83" s="124"/>
      <c r="R83" s="118"/>
      <c r="S83" s="118"/>
      <c r="T83" s="199"/>
      <c r="U83" s="118"/>
      <c r="V83" s="118"/>
      <c r="W83" s="65"/>
      <c r="X83" s="118"/>
      <c r="Y83" s="124"/>
      <c r="Z83" s="118"/>
      <c r="AA83" s="124"/>
      <c r="AB83" s="118"/>
      <c r="AC83" s="118"/>
      <c r="AD83" s="199"/>
      <c r="AE83" s="124"/>
      <c r="AF83" s="118"/>
      <c r="AG83" s="124"/>
      <c r="AH83" s="118"/>
      <c r="AI83" s="124"/>
      <c r="AJ83" s="118"/>
      <c r="AN83" s="142"/>
      <c r="AO83" s="65"/>
      <c r="AP83" s="118"/>
      <c r="AQ83" s="124"/>
      <c r="AR83" s="118"/>
      <c r="AS83" s="124"/>
      <c r="AT83" s="118"/>
      <c r="AU83" s="289"/>
      <c r="AV83" s="290"/>
      <c r="BA83" s="285"/>
      <c r="BB83" s="285"/>
    </row>
    <row r="84" spans="1:54" ht="15.75">
      <c r="A84" s="47" t="s">
        <v>332</v>
      </c>
      <c r="B84" s="13"/>
      <c r="C84" s="141"/>
      <c r="D84" s="3"/>
      <c r="E84" s="141"/>
      <c r="F84" s="3"/>
      <c r="G84" s="141"/>
      <c r="H84" s="3"/>
      <c r="I84" s="61"/>
      <c r="J84" s="141"/>
      <c r="K84" s="3"/>
      <c r="L84" s="141"/>
      <c r="M84" s="3"/>
      <c r="N84" s="141"/>
      <c r="O84" s="3"/>
      <c r="P84" s="141"/>
      <c r="Q84" s="3"/>
      <c r="R84" s="141"/>
      <c r="S84" s="141"/>
      <c r="T84" s="211"/>
      <c r="U84" s="141"/>
      <c r="V84" s="141"/>
      <c r="W84" s="61"/>
      <c r="X84" s="141"/>
      <c r="Y84" s="3"/>
      <c r="Z84" s="141"/>
      <c r="AA84" s="3"/>
      <c r="AB84" s="141"/>
      <c r="AC84" s="141"/>
      <c r="AD84" s="211"/>
      <c r="AE84" s="3"/>
      <c r="AF84" s="141"/>
      <c r="AG84" s="3"/>
      <c r="AH84" s="141"/>
      <c r="AI84" s="3"/>
      <c r="AJ84" s="141"/>
      <c r="AN84" s="286" t="s">
        <v>323</v>
      </c>
      <c r="AO84" s="61"/>
      <c r="AP84" s="141"/>
      <c r="AQ84" s="3"/>
      <c r="AR84" s="141"/>
      <c r="AS84" s="3"/>
      <c r="AT84" s="141"/>
      <c r="AU84" s="169"/>
      <c r="AV84" s="236"/>
      <c r="BA84" s="285"/>
      <c r="BB84" s="285"/>
    </row>
    <row r="85" spans="1:54" ht="15.75">
      <c r="A85" s="12"/>
      <c r="B85" s="63" t="s">
        <v>328</v>
      </c>
      <c r="C85" s="141">
        <v>64</v>
      </c>
      <c r="D85" s="3">
        <v>64</v>
      </c>
      <c r="E85" s="141">
        <v>67</v>
      </c>
      <c r="F85" s="3">
        <v>67</v>
      </c>
      <c r="G85" s="141">
        <v>68</v>
      </c>
      <c r="H85" s="3">
        <v>68</v>
      </c>
      <c r="I85" s="61">
        <v>70</v>
      </c>
      <c r="J85" s="141">
        <v>70</v>
      </c>
      <c r="K85" s="3">
        <v>68</v>
      </c>
      <c r="L85" s="141">
        <v>68</v>
      </c>
      <c r="M85" s="3">
        <v>68</v>
      </c>
      <c r="N85" s="141">
        <v>68</v>
      </c>
      <c r="O85" s="3">
        <v>68</v>
      </c>
      <c r="P85" s="141">
        <v>68</v>
      </c>
      <c r="Q85" s="3">
        <v>68</v>
      </c>
      <c r="R85" s="141">
        <v>68</v>
      </c>
      <c r="S85" s="141">
        <v>70</v>
      </c>
      <c r="T85" s="211">
        <v>70</v>
      </c>
      <c r="U85" s="141">
        <v>57</v>
      </c>
      <c r="V85" s="141">
        <v>57</v>
      </c>
      <c r="W85" s="61">
        <v>57</v>
      </c>
      <c r="X85" s="141">
        <v>57</v>
      </c>
      <c r="Y85" s="3">
        <v>68</v>
      </c>
      <c r="Z85" s="141">
        <v>68</v>
      </c>
      <c r="AA85" s="3">
        <v>68</v>
      </c>
      <c r="AB85" s="141">
        <v>68</v>
      </c>
      <c r="AC85" s="141">
        <v>68</v>
      </c>
      <c r="AD85" s="211">
        <v>68</v>
      </c>
      <c r="AE85" s="3">
        <v>57</v>
      </c>
      <c r="AF85" s="141">
        <v>57</v>
      </c>
      <c r="AG85" s="3">
        <v>68</v>
      </c>
      <c r="AH85" s="141">
        <v>68</v>
      </c>
      <c r="AI85" s="3">
        <v>74</v>
      </c>
      <c r="AJ85" s="141">
        <v>74</v>
      </c>
      <c r="AN85" s="142"/>
      <c r="AO85" s="61">
        <v>80</v>
      </c>
      <c r="AP85" s="141">
        <v>80</v>
      </c>
      <c r="AQ85" s="3">
        <v>80</v>
      </c>
      <c r="AR85" s="141">
        <v>80</v>
      </c>
      <c r="AS85" s="3">
        <v>80</v>
      </c>
      <c r="AT85" s="141">
        <v>80</v>
      </c>
      <c r="AU85" s="169">
        <v>80</v>
      </c>
      <c r="AV85" s="236">
        <v>80</v>
      </c>
      <c r="BA85" s="285"/>
      <c r="BB85" s="285"/>
    </row>
    <row r="86" spans="1:54" ht="15.75">
      <c r="A86" s="12"/>
      <c r="B86" s="63" t="s">
        <v>333</v>
      </c>
      <c r="C86" s="141">
        <v>100</v>
      </c>
      <c r="D86" s="3">
        <v>100</v>
      </c>
      <c r="E86" s="141">
        <v>66</v>
      </c>
      <c r="F86" s="3">
        <v>66</v>
      </c>
      <c r="G86" s="141">
        <v>66</v>
      </c>
      <c r="H86" s="3">
        <v>66</v>
      </c>
      <c r="I86" s="61">
        <v>66</v>
      </c>
      <c r="J86" s="141">
        <v>66</v>
      </c>
      <c r="K86" s="3">
        <v>66</v>
      </c>
      <c r="L86" s="141">
        <v>66</v>
      </c>
      <c r="M86" s="3">
        <v>66</v>
      </c>
      <c r="N86" s="141">
        <v>66</v>
      </c>
      <c r="O86" s="3">
        <v>66</v>
      </c>
      <c r="P86" s="141">
        <v>66</v>
      </c>
      <c r="Q86" s="3">
        <v>66</v>
      </c>
      <c r="R86" s="141">
        <v>66</v>
      </c>
      <c r="S86" s="141">
        <v>66</v>
      </c>
      <c r="T86" s="211">
        <v>66</v>
      </c>
      <c r="U86" s="141">
        <v>100</v>
      </c>
      <c r="V86" s="141">
        <v>100</v>
      </c>
      <c r="W86" s="61">
        <v>100</v>
      </c>
      <c r="X86" s="141">
        <v>100</v>
      </c>
      <c r="Y86" s="3">
        <v>66</v>
      </c>
      <c r="Z86" s="141">
        <v>66</v>
      </c>
      <c r="AA86" s="3">
        <v>66</v>
      </c>
      <c r="AB86" s="141">
        <v>66</v>
      </c>
      <c r="AC86" s="141">
        <v>66</v>
      </c>
      <c r="AD86" s="211">
        <v>66</v>
      </c>
      <c r="AE86" s="3">
        <v>100</v>
      </c>
      <c r="AF86" s="141">
        <v>100</v>
      </c>
      <c r="AG86" s="3">
        <v>66</v>
      </c>
      <c r="AH86" s="141">
        <v>66</v>
      </c>
      <c r="AI86" s="3">
        <v>50</v>
      </c>
      <c r="AJ86" s="141">
        <v>50</v>
      </c>
      <c r="AN86" s="142"/>
      <c r="AO86" s="61">
        <v>100</v>
      </c>
      <c r="AP86" s="141">
        <v>100</v>
      </c>
      <c r="AQ86" s="3">
        <v>100</v>
      </c>
      <c r="AR86" s="141">
        <v>100</v>
      </c>
      <c r="AS86" s="3">
        <v>100</v>
      </c>
      <c r="AT86" s="141">
        <v>100</v>
      </c>
      <c r="AU86" s="169">
        <v>100</v>
      </c>
      <c r="AV86" s="236">
        <v>100</v>
      </c>
      <c r="BA86" s="285"/>
      <c r="BB86" s="285"/>
    </row>
    <row r="87" spans="1:54" ht="15.75">
      <c r="A87" s="47" t="s">
        <v>334</v>
      </c>
      <c r="B87" s="211"/>
      <c r="C87" s="141"/>
      <c r="D87" s="3"/>
      <c r="E87" s="141"/>
      <c r="F87" s="3"/>
      <c r="G87" s="141"/>
      <c r="H87" s="3"/>
      <c r="I87" s="61"/>
      <c r="J87" s="141"/>
      <c r="K87" s="3"/>
      <c r="L87" s="141"/>
      <c r="M87" s="3"/>
      <c r="N87" s="141"/>
      <c r="O87" s="3"/>
      <c r="P87" s="141"/>
      <c r="Q87" s="3"/>
      <c r="R87" s="141"/>
      <c r="S87" s="141"/>
      <c r="T87" s="211"/>
      <c r="U87" s="141"/>
      <c r="V87" s="141"/>
      <c r="W87" s="61"/>
      <c r="X87" s="141"/>
      <c r="Y87" s="3"/>
      <c r="Z87" s="141"/>
      <c r="AA87" s="3"/>
      <c r="AB87" s="141"/>
      <c r="AC87" s="141"/>
      <c r="AD87" s="211"/>
      <c r="AE87" s="3"/>
      <c r="AF87" s="141"/>
      <c r="AG87" s="3"/>
      <c r="AH87" s="141"/>
      <c r="AI87" s="3"/>
      <c r="AJ87" s="141"/>
      <c r="AN87" s="286" t="s">
        <v>335</v>
      </c>
      <c r="AO87" s="61"/>
      <c r="AP87" s="141"/>
      <c r="AQ87" s="3"/>
      <c r="AR87" s="141"/>
      <c r="AS87" s="3"/>
      <c r="AT87" s="141"/>
      <c r="AU87" s="169"/>
      <c r="AV87" s="236"/>
      <c r="BA87" s="285"/>
      <c r="BB87" s="285"/>
    </row>
    <row r="88" spans="1:54" ht="15.75">
      <c r="A88" s="12"/>
      <c r="B88" s="63" t="s">
        <v>328</v>
      </c>
      <c r="C88" s="141">
        <v>64</v>
      </c>
      <c r="D88" s="3">
        <v>64</v>
      </c>
      <c r="E88" s="141">
        <v>22</v>
      </c>
      <c r="F88" s="3">
        <v>22</v>
      </c>
      <c r="G88" s="141">
        <v>22</v>
      </c>
      <c r="H88" s="3">
        <v>22</v>
      </c>
      <c r="I88" s="61">
        <v>23</v>
      </c>
      <c r="J88" s="141">
        <v>23</v>
      </c>
      <c r="K88" s="3">
        <v>22</v>
      </c>
      <c r="L88" s="141">
        <v>22</v>
      </c>
      <c r="M88" s="3">
        <v>22</v>
      </c>
      <c r="N88" s="141">
        <v>22</v>
      </c>
      <c r="O88" s="3">
        <v>22</v>
      </c>
      <c r="P88" s="141">
        <v>22</v>
      </c>
      <c r="Q88" s="3">
        <v>22</v>
      </c>
      <c r="R88" s="141">
        <v>22</v>
      </c>
      <c r="S88" s="141">
        <v>23</v>
      </c>
      <c r="T88" s="211">
        <v>23</v>
      </c>
      <c r="U88" s="141">
        <v>22</v>
      </c>
      <c r="V88" s="141">
        <v>22</v>
      </c>
      <c r="W88" s="61">
        <v>22</v>
      </c>
      <c r="X88" s="141">
        <v>22</v>
      </c>
      <c r="Y88" s="3">
        <v>22</v>
      </c>
      <c r="Z88" s="141">
        <v>22</v>
      </c>
      <c r="AA88" s="3">
        <v>22</v>
      </c>
      <c r="AB88" s="141">
        <v>22</v>
      </c>
      <c r="AC88" s="141">
        <v>22</v>
      </c>
      <c r="AD88" s="211">
        <v>22</v>
      </c>
      <c r="AE88" s="3">
        <v>22</v>
      </c>
      <c r="AF88" s="141">
        <v>22</v>
      </c>
      <c r="AG88" s="3">
        <v>22</v>
      </c>
      <c r="AH88" s="141">
        <v>22</v>
      </c>
      <c r="AI88" s="3">
        <v>74</v>
      </c>
      <c r="AJ88" s="141">
        <v>74</v>
      </c>
      <c r="AN88" s="142"/>
      <c r="AO88" s="61">
        <v>80</v>
      </c>
      <c r="AP88" s="141">
        <v>80</v>
      </c>
      <c r="AQ88" s="3">
        <v>80</v>
      </c>
      <c r="AR88" s="141">
        <v>80</v>
      </c>
      <c r="AS88" s="3">
        <v>80</v>
      </c>
      <c r="AT88" s="141">
        <v>80</v>
      </c>
      <c r="AU88" s="169">
        <v>80</v>
      </c>
      <c r="AV88" s="236">
        <v>80</v>
      </c>
      <c r="BA88" s="285"/>
      <c r="BB88" s="285"/>
    </row>
    <row r="89" spans="1:54" ht="15.75">
      <c r="A89" s="12"/>
      <c r="B89" s="63" t="s">
        <v>333</v>
      </c>
      <c r="C89" s="128">
        <f aca="true" t="shared" si="123" ref="C89:L89">100-C86</f>
        <v>0</v>
      </c>
      <c r="D89" s="5">
        <f t="shared" si="123"/>
        <v>0</v>
      </c>
      <c r="E89" s="128">
        <f t="shared" si="123"/>
        <v>34</v>
      </c>
      <c r="F89" s="5">
        <f t="shared" si="123"/>
        <v>34</v>
      </c>
      <c r="G89" s="128">
        <f t="shared" si="123"/>
        <v>34</v>
      </c>
      <c r="H89" s="5">
        <f t="shared" si="123"/>
        <v>34</v>
      </c>
      <c r="I89" s="62">
        <f t="shared" si="123"/>
        <v>34</v>
      </c>
      <c r="J89" s="128">
        <f t="shared" si="123"/>
        <v>34</v>
      </c>
      <c r="K89" s="5">
        <f t="shared" si="123"/>
        <v>34</v>
      </c>
      <c r="L89" s="128">
        <f t="shared" si="123"/>
        <v>34</v>
      </c>
      <c r="M89" s="5">
        <f aca="true" t="shared" si="124" ref="M89:V89">100-M86</f>
        <v>34</v>
      </c>
      <c r="N89" s="128">
        <f t="shared" si="124"/>
        <v>34</v>
      </c>
      <c r="O89" s="5">
        <f t="shared" si="124"/>
        <v>34</v>
      </c>
      <c r="P89" s="128">
        <f t="shared" si="124"/>
        <v>34</v>
      </c>
      <c r="Q89" s="5">
        <f t="shared" si="124"/>
        <v>34</v>
      </c>
      <c r="R89" s="128">
        <f t="shared" si="124"/>
        <v>34</v>
      </c>
      <c r="S89" s="128">
        <f t="shared" si="124"/>
        <v>34</v>
      </c>
      <c r="T89" s="243">
        <f t="shared" si="124"/>
        <v>34</v>
      </c>
      <c r="U89" s="128">
        <f t="shared" si="124"/>
        <v>0</v>
      </c>
      <c r="V89" s="128">
        <f t="shared" si="124"/>
        <v>0</v>
      </c>
      <c r="W89" s="62">
        <f aca="true" t="shared" si="125" ref="W89:AJ89">100-W86</f>
        <v>0</v>
      </c>
      <c r="X89" s="128">
        <f t="shared" si="125"/>
        <v>0</v>
      </c>
      <c r="Y89" s="5">
        <f t="shared" si="125"/>
        <v>34</v>
      </c>
      <c r="Z89" s="128">
        <f t="shared" si="125"/>
        <v>34</v>
      </c>
      <c r="AA89" s="5">
        <f t="shared" si="125"/>
        <v>34</v>
      </c>
      <c r="AB89" s="128">
        <f t="shared" si="125"/>
        <v>34</v>
      </c>
      <c r="AC89" s="128">
        <f t="shared" si="125"/>
        <v>34</v>
      </c>
      <c r="AD89" s="243">
        <f t="shared" si="125"/>
        <v>34</v>
      </c>
      <c r="AE89" s="5">
        <f t="shared" si="125"/>
        <v>0</v>
      </c>
      <c r="AF89" s="128">
        <f t="shared" si="125"/>
        <v>0</v>
      </c>
      <c r="AG89" s="5">
        <f t="shared" si="125"/>
        <v>34</v>
      </c>
      <c r="AH89" s="128">
        <f t="shared" si="125"/>
        <v>34</v>
      </c>
      <c r="AI89" s="5">
        <f t="shared" si="125"/>
        <v>50</v>
      </c>
      <c r="AJ89" s="128">
        <f t="shared" si="125"/>
        <v>50</v>
      </c>
      <c r="AN89" s="291" t="s">
        <v>336</v>
      </c>
      <c r="AO89" s="62">
        <v>33</v>
      </c>
      <c r="AP89" s="128">
        <v>33</v>
      </c>
      <c r="AQ89" s="5">
        <v>33</v>
      </c>
      <c r="AR89" s="128">
        <v>33</v>
      </c>
      <c r="AS89" s="5">
        <v>33</v>
      </c>
      <c r="AT89" s="128">
        <v>33</v>
      </c>
      <c r="AU89" s="6">
        <v>33</v>
      </c>
      <c r="AV89" s="288">
        <v>33</v>
      </c>
      <c r="BA89" s="285"/>
      <c r="BB89" s="285"/>
    </row>
    <row r="90" spans="1:54" ht="15.75">
      <c r="A90" s="47" t="s">
        <v>331</v>
      </c>
      <c r="B90" s="13"/>
      <c r="C90" s="128">
        <f aca="true" t="shared" si="126" ref="C90:L90">($J$4-$C$4)*C76*((C86/C85)+(C89/C88))/1000</f>
        <v>0.580153125</v>
      </c>
      <c r="D90" s="5">
        <f t="shared" si="126"/>
        <v>0.580153125</v>
      </c>
      <c r="E90" s="128">
        <f t="shared" si="126"/>
        <v>0.3956128086838535</v>
      </c>
      <c r="F90" s="5">
        <f t="shared" si="126"/>
        <v>0.4450644097693352</v>
      </c>
      <c r="G90" s="128">
        <f t="shared" si="126"/>
        <v>0.44251657219251345</v>
      </c>
      <c r="H90" s="5">
        <f t="shared" si="126"/>
        <v>0.44251657219251345</v>
      </c>
      <c r="I90" s="62">
        <f t="shared" si="126"/>
        <v>0.4258213937888199</v>
      </c>
      <c r="J90" s="128">
        <f t="shared" si="126"/>
        <v>0.4258213937888199</v>
      </c>
      <c r="K90" s="5">
        <f t="shared" si="126"/>
        <v>0.39334806417112306</v>
      </c>
      <c r="L90" s="128">
        <f t="shared" si="126"/>
        <v>0.44251657219251345</v>
      </c>
      <c r="M90" s="5">
        <f aca="true" t="shared" si="127" ref="M90:V90">($J$4-$C$4)*M76*((M86/M85)+(M89/M88))/1000</f>
        <v>0.39334806417112306</v>
      </c>
      <c r="N90" s="128">
        <f t="shared" si="127"/>
        <v>0.44251657219251345</v>
      </c>
      <c r="O90" s="5">
        <f t="shared" si="127"/>
        <v>0.39334806417112306</v>
      </c>
      <c r="P90" s="128">
        <f t="shared" si="127"/>
        <v>0.44251657219251345</v>
      </c>
      <c r="Q90" s="5">
        <f t="shared" si="127"/>
        <v>0.39334806417112306</v>
      </c>
      <c r="R90" s="128">
        <f t="shared" si="127"/>
        <v>0.44251657219251345</v>
      </c>
      <c r="S90" s="128">
        <f t="shared" si="127"/>
        <v>0.4258213937888199</v>
      </c>
      <c r="T90" s="243">
        <f t="shared" si="127"/>
        <v>0.4258213937888199</v>
      </c>
      <c r="U90" s="128">
        <f t="shared" si="127"/>
        <v>0.30855789473684214</v>
      </c>
      <c r="V90" s="128">
        <f t="shared" si="127"/>
        <v>0.27427368421052634</v>
      </c>
      <c r="W90" s="62">
        <f aca="true" t="shared" si="128" ref="W90:AH90">($J$4-$C$4)*W76*((W86/W85)+(W89/W88))/1000</f>
        <v>0.30855789473684214</v>
      </c>
      <c r="X90" s="128">
        <f t="shared" si="128"/>
        <v>0.29141578947368424</v>
      </c>
      <c r="Y90" s="5">
        <f t="shared" si="128"/>
        <v>0.39334806417112306</v>
      </c>
      <c r="Z90" s="128">
        <f t="shared" si="128"/>
        <v>0.4179323181818183</v>
      </c>
      <c r="AA90" s="5">
        <f t="shared" si="128"/>
        <v>0.44251657219251345</v>
      </c>
      <c r="AB90" s="128">
        <f t="shared" si="128"/>
        <v>0.39334806417112306</v>
      </c>
      <c r="AC90" s="128">
        <f t="shared" si="128"/>
        <v>0.44251657219251345</v>
      </c>
      <c r="AD90" s="243">
        <f t="shared" si="128"/>
        <v>0.39334806417112306</v>
      </c>
      <c r="AE90" s="5">
        <f t="shared" si="128"/>
        <v>0.27427368421052634</v>
      </c>
      <c r="AF90" s="128">
        <f t="shared" si="128"/>
        <v>0.27427368421052634</v>
      </c>
      <c r="AG90" s="5">
        <f t="shared" si="128"/>
        <v>0.39334806417112306</v>
      </c>
      <c r="AH90" s="128">
        <f t="shared" si="128"/>
        <v>0.4179323181818183</v>
      </c>
      <c r="AI90" s="5">
        <f>($AI$4-$AB$4)*AI76*((AI86/AI85)+(AI89/AI88))/1000</f>
        <v>0.5545135135135134</v>
      </c>
      <c r="AJ90" s="128">
        <f>($AI$4-$AB$4)*AJ76*((AJ86/AJ85)+(AJ89/AJ88))/1000</f>
        <v>0.6601351351351351</v>
      </c>
      <c r="AN90" s="142"/>
      <c r="AO90" s="62">
        <f aca="true" t="shared" si="129" ref="AO90:AV90">($AO$4-$AO$3)*AO76*AO86/AO85/1000+$AO$1*AO76*AO89/AO88/1000</f>
        <v>0.48518750000000005</v>
      </c>
      <c r="AP90" s="128">
        <f t="shared" si="129"/>
        <v>0.48518750000000005</v>
      </c>
      <c r="AQ90" s="5">
        <f t="shared" si="129"/>
        <v>0.48518750000000005</v>
      </c>
      <c r="AR90" s="128">
        <f t="shared" si="129"/>
        <v>0.48518750000000005</v>
      </c>
      <c r="AS90" s="5">
        <f t="shared" si="129"/>
        <v>0.48518750000000005</v>
      </c>
      <c r="AT90" s="128">
        <f t="shared" si="129"/>
        <v>0.48518750000000005</v>
      </c>
      <c r="AU90" s="6">
        <f t="shared" si="129"/>
        <v>0.48518750000000005</v>
      </c>
      <c r="AV90" s="288">
        <f t="shared" si="129"/>
        <v>0.48518750000000005</v>
      </c>
      <c r="BA90" s="285"/>
      <c r="BB90" s="285"/>
    </row>
    <row r="91" spans="1:54" ht="15.75">
      <c r="A91" s="59" t="s">
        <v>337</v>
      </c>
      <c r="B91" s="16"/>
      <c r="C91" s="212"/>
      <c r="D91" s="15"/>
      <c r="E91" s="212"/>
      <c r="F91" s="15"/>
      <c r="G91" s="212"/>
      <c r="H91" s="15"/>
      <c r="I91" s="14"/>
      <c r="J91" s="212"/>
      <c r="K91" s="15"/>
      <c r="L91" s="212"/>
      <c r="M91" s="15"/>
      <c r="N91" s="212"/>
      <c r="O91" s="15"/>
      <c r="P91" s="212"/>
      <c r="Q91" s="15"/>
      <c r="R91" s="212"/>
      <c r="S91" s="212"/>
      <c r="T91" s="16"/>
      <c r="U91" s="212"/>
      <c r="V91" s="212"/>
      <c r="W91" s="14"/>
      <c r="X91" s="212"/>
      <c r="Y91" s="15"/>
      <c r="Z91" s="212"/>
      <c r="AA91" s="15"/>
      <c r="AB91" s="212"/>
      <c r="AC91" s="212"/>
      <c r="AD91" s="16"/>
      <c r="AE91" s="15"/>
      <c r="AF91" s="212"/>
      <c r="AG91" s="15"/>
      <c r="AH91" s="212"/>
      <c r="AI91" s="15"/>
      <c r="AJ91" s="212"/>
      <c r="AN91" s="142"/>
      <c r="AO91" s="65"/>
      <c r="AP91" s="118"/>
      <c r="AQ91" s="124"/>
      <c r="AR91" s="118"/>
      <c r="AS91" s="124"/>
      <c r="AT91" s="118"/>
      <c r="AU91" s="289"/>
      <c r="AV91" s="290"/>
      <c r="BA91" s="285"/>
      <c r="BB91" s="285"/>
    </row>
    <row r="92" spans="1:54" ht="15.75">
      <c r="A92" s="12"/>
      <c r="B92" s="63" t="s">
        <v>338</v>
      </c>
      <c r="C92" s="141">
        <v>2.5</v>
      </c>
      <c r="D92" s="3">
        <v>2.5</v>
      </c>
      <c r="E92" s="141">
        <v>2.5</v>
      </c>
      <c r="F92" s="3">
        <v>2.5</v>
      </c>
      <c r="G92" s="141">
        <v>2.5</v>
      </c>
      <c r="H92" s="3">
        <v>2.5</v>
      </c>
      <c r="I92" s="61">
        <v>2.5</v>
      </c>
      <c r="J92" s="141">
        <v>2.5</v>
      </c>
      <c r="K92" s="3">
        <v>2.5</v>
      </c>
      <c r="L92" s="141">
        <v>2.5</v>
      </c>
      <c r="M92" s="3">
        <v>2.5</v>
      </c>
      <c r="N92" s="141">
        <v>2.5</v>
      </c>
      <c r="O92" s="3">
        <v>2.5</v>
      </c>
      <c r="P92" s="141">
        <v>2.5</v>
      </c>
      <c r="Q92" s="3">
        <v>2.5</v>
      </c>
      <c r="R92" s="141">
        <v>2.5</v>
      </c>
      <c r="S92" s="141">
        <v>2.5</v>
      </c>
      <c r="T92" s="211">
        <v>2.5</v>
      </c>
      <c r="U92" s="141">
        <v>2.5</v>
      </c>
      <c r="V92" s="141">
        <v>2.5</v>
      </c>
      <c r="W92" s="61">
        <v>2.5</v>
      </c>
      <c r="X92" s="141">
        <v>2.5</v>
      </c>
      <c r="Y92" s="3">
        <v>2.5</v>
      </c>
      <c r="Z92" s="141">
        <v>2.5</v>
      </c>
      <c r="AA92" s="3">
        <v>2.5</v>
      </c>
      <c r="AB92" s="141">
        <v>2.5</v>
      </c>
      <c r="AC92" s="141">
        <v>2.5</v>
      </c>
      <c r="AD92" s="211">
        <v>2.5</v>
      </c>
      <c r="AE92" s="3">
        <v>2.5</v>
      </c>
      <c r="AF92" s="141">
        <v>2.5</v>
      </c>
      <c r="AG92" s="3">
        <v>2.5</v>
      </c>
      <c r="AH92" s="141">
        <v>2.5</v>
      </c>
      <c r="AI92" s="3">
        <v>0.2</v>
      </c>
      <c r="AJ92" s="141">
        <v>0.2</v>
      </c>
      <c r="AN92" s="142"/>
      <c r="AO92" s="61">
        <v>0.2</v>
      </c>
      <c r="AP92" s="141">
        <v>0.2</v>
      </c>
      <c r="AQ92" s="3">
        <v>0.2</v>
      </c>
      <c r="AR92" s="141">
        <v>0.2</v>
      </c>
      <c r="AS92" s="3">
        <v>0.2</v>
      </c>
      <c r="AT92" s="141">
        <v>0.2</v>
      </c>
      <c r="AU92" s="169">
        <v>0.2</v>
      </c>
      <c r="AV92" s="236">
        <v>0.2</v>
      </c>
      <c r="BA92" s="285"/>
      <c r="BB92" s="285"/>
    </row>
    <row r="93" spans="1:54" ht="15.75">
      <c r="A93" s="12"/>
      <c r="B93" s="63" t="s">
        <v>339</v>
      </c>
      <c r="C93" s="141">
        <v>5.96</v>
      </c>
      <c r="D93" s="3">
        <v>5.96</v>
      </c>
      <c r="E93" s="141">
        <v>8.56</v>
      </c>
      <c r="F93" s="3">
        <v>8.56</v>
      </c>
      <c r="G93" s="141">
        <v>4.02</v>
      </c>
      <c r="H93" s="3">
        <v>4.02</v>
      </c>
      <c r="I93" s="61">
        <v>4.06</v>
      </c>
      <c r="J93" s="141">
        <v>4.06</v>
      </c>
      <c r="K93" s="3">
        <v>4.27</v>
      </c>
      <c r="L93" s="141">
        <v>4.27</v>
      </c>
      <c r="M93" s="3">
        <v>1.79</v>
      </c>
      <c r="N93" s="141">
        <v>1.79</v>
      </c>
      <c r="O93" s="3">
        <v>7.67</v>
      </c>
      <c r="P93" s="141">
        <v>7.67</v>
      </c>
      <c r="Q93" s="3">
        <v>1.74</v>
      </c>
      <c r="R93" s="141">
        <v>1.74</v>
      </c>
      <c r="S93" s="141">
        <v>7.49</v>
      </c>
      <c r="T93" s="211">
        <v>7.49</v>
      </c>
      <c r="U93" s="141">
        <v>3.38</v>
      </c>
      <c r="V93" s="141">
        <v>3.38</v>
      </c>
      <c r="W93" s="61">
        <v>2.33</v>
      </c>
      <c r="X93" s="141">
        <v>2.33</v>
      </c>
      <c r="Y93" s="3">
        <v>1.53</v>
      </c>
      <c r="Z93" s="141">
        <v>1.53</v>
      </c>
      <c r="AA93" s="3">
        <v>1</v>
      </c>
      <c r="AB93" s="141">
        <v>1</v>
      </c>
      <c r="AC93" s="141">
        <v>5.5</v>
      </c>
      <c r="AD93" s="211">
        <v>5.5</v>
      </c>
      <c r="AE93" s="3">
        <v>1.94</v>
      </c>
      <c r="AF93" s="141">
        <v>1.94</v>
      </c>
      <c r="AG93" s="3">
        <v>1.14</v>
      </c>
      <c r="AH93" s="141">
        <v>1.14</v>
      </c>
      <c r="AI93" s="3">
        <v>10</v>
      </c>
      <c r="AJ93" s="141">
        <v>10</v>
      </c>
      <c r="AN93" s="142"/>
      <c r="AO93" s="61">
        <v>10</v>
      </c>
      <c r="AP93" s="141">
        <v>10</v>
      </c>
      <c r="AQ93" s="3">
        <v>10</v>
      </c>
      <c r="AR93" s="141">
        <v>10</v>
      </c>
      <c r="AS93" s="3">
        <v>10</v>
      </c>
      <c r="AT93" s="141">
        <v>10</v>
      </c>
      <c r="AU93" s="169">
        <v>10</v>
      </c>
      <c r="AV93" s="236">
        <v>10</v>
      </c>
      <c r="BA93" s="285"/>
      <c r="BB93" s="285"/>
    </row>
    <row r="94" spans="1:54" ht="15.75">
      <c r="A94" s="47" t="s">
        <v>331</v>
      </c>
      <c r="B94" s="13"/>
      <c r="C94" s="128">
        <f aca="true" t="shared" si="130" ref="C94:L94">C92*C51/100/C93</f>
        <v>0.16610738255033558</v>
      </c>
      <c r="D94" s="5">
        <f t="shared" si="130"/>
        <v>0.17630248815496746</v>
      </c>
      <c r="E94" s="128">
        <f t="shared" si="130"/>
        <v>0.05599709465870636</v>
      </c>
      <c r="F94" s="5">
        <f t="shared" si="130"/>
        <v>0.04923500150738618</v>
      </c>
      <c r="G94" s="128">
        <f t="shared" si="130"/>
        <v>0.10391662132511138</v>
      </c>
      <c r="H94" s="5">
        <f t="shared" si="130"/>
        <v>0.6218905472636816</v>
      </c>
      <c r="I94" s="62">
        <f t="shared" si="130"/>
        <v>0.21342166270450907</v>
      </c>
      <c r="J94" s="128">
        <f t="shared" si="130"/>
        <v>0.10270404587135115</v>
      </c>
      <c r="K94" s="5">
        <f t="shared" si="130"/>
        <v>0.1099207298623338</v>
      </c>
      <c r="L94" s="128">
        <f t="shared" si="130"/>
        <v>0.10372075980108973</v>
      </c>
      <c r="M94" s="5">
        <f aca="true" t="shared" si="131" ref="M94:V94">M92*M51/100/M93</f>
        <v>1.3966480446927374</v>
      </c>
      <c r="N94" s="128">
        <f t="shared" si="131"/>
        <v>0.20869662328715521</v>
      </c>
      <c r="O94" s="5">
        <f t="shared" si="131"/>
        <v>0.061788449231216486</v>
      </c>
      <c r="P94" s="128">
        <f t="shared" si="131"/>
        <v>0.05051372283422346</v>
      </c>
      <c r="Q94" s="5">
        <f t="shared" si="131"/>
        <v>1.4367816091954022</v>
      </c>
      <c r="R94" s="128">
        <f t="shared" si="131"/>
        <v>0.2614809713004178</v>
      </c>
      <c r="S94" s="128">
        <f t="shared" si="131"/>
        <v>0.058959584011196775</v>
      </c>
      <c r="T94" s="243">
        <f t="shared" si="131"/>
        <v>0.052484450960348</v>
      </c>
      <c r="U94" s="128">
        <f t="shared" si="131"/>
        <v>0.15536280568055055</v>
      </c>
      <c r="V94" s="128">
        <f t="shared" si="131"/>
        <v>0.7396449704142012</v>
      </c>
      <c r="W94" s="62">
        <f aca="true" t="shared" si="132" ref="W94:AJ94">W92*W51/100/W93</f>
        <v>0.16825953108554625</v>
      </c>
      <c r="X94" s="128">
        <f t="shared" si="132"/>
        <v>1.0729613733905579</v>
      </c>
      <c r="Y94" s="5">
        <f t="shared" si="132"/>
        <v>0.28420916977902266</v>
      </c>
      <c r="Z94" s="128">
        <f t="shared" si="132"/>
        <v>0.28934485648766356</v>
      </c>
      <c r="AA94" s="5">
        <f t="shared" si="132"/>
        <v>0.45872742906276864</v>
      </c>
      <c r="AB94" s="128">
        <f t="shared" si="132"/>
        <v>0.4878409910245894</v>
      </c>
      <c r="AC94" s="128">
        <f t="shared" si="132"/>
        <v>0.08653343782654127</v>
      </c>
      <c r="AD94" s="243">
        <f t="shared" si="132"/>
        <v>0.45454545454545453</v>
      </c>
      <c r="AE94" s="5">
        <f t="shared" si="132"/>
        <v>0.21708572709313093</v>
      </c>
      <c r="AF94" s="128">
        <f t="shared" si="132"/>
        <v>0.2984374374666715</v>
      </c>
      <c r="AG94" s="5">
        <f t="shared" si="132"/>
        <v>0.5470335131882973</v>
      </c>
      <c r="AH94" s="128">
        <f t="shared" si="132"/>
        <v>0.6725146198830412</v>
      </c>
      <c r="AI94" s="5">
        <f t="shared" si="132"/>
        <v>0.007107160892839108</v>
      </c>
      <c r="AJ94" s="128">
        <f t="shared" si="132"/>
        <v>0.006732967893500393</v>
      </c>
      <c r="AN94" s="142"/>
      <c r="AO94" s="292">
        <f aca="true" t="shared" si="133" ref="AO94:AV94">AO92*AO51/100/AO93</f>
        <v>0.0070860494196018555</v>
      </c>
      <c r="AP94" s="293">
        <f t="shared" si="133"/>
        <v>0.007298907646474678</v>
      </c>
      <c r="AQ94" s="146">
        <f t="shared" si="133"/>
        <v>0.007074762478255052</v>
      </c>
      <c r="AR94" s="293">
        <f t="shared" si="133"/>
        <v>0.007326075949367089</v>
      </c>
      <c r="AS94" s="146">
        <f t="shared" si="133"/>
        <v>0.011111111111111112</v>
      </c>
      <c r="AT94" s="293">
        <f t="shared" si="133"/>
        <v>0.011111111111111112</v>
      </c>
      <c r="AU94" s="146">
        <f t="shared" si="133"/>
        <v>0.00681854210898797</v>
      </c>
      <c r="AV94" s="293">
        <f t="shared" si="133"/>
        <v>0.006937693693693693</v>
      </c>
      <c r="BA94" s="285"/>
      <c r="BB94" s="285"/>
    </row>
    <row r="95" spans="1:54" ht="15.75">
      <c r="A95" s="59" t="s">
        <v>340</v>
      </c>
      <c r="B95" s="16"/>
      <c r="C95" s="212"/>
      <c r="D95" s="15"/>
      <c r="E95" s="212"/>
      <c r="F95" s="15"/>
      <c r="G95" s="212"/>
      <c r="H95" s="15"/>
      <c r="I95" s="14"/>
      <c r="J95" s="212"/>
      <c r="K95" s="15"/>
      <c r="L95" s="212"/>
      <c r="M95" s="15"/>
      <c r="N95" s="212"/>
      <c r="O95" s="15"/>
      <c r="P95" s="212"/>
      <c r="Q95" s="15"/>
      <c r="R95" s="212"/>
      <c r="S95" s="212"/>
      <c r="T95" s="16"/>
      <c r="U95" s="212"/>
      <c r="V95" s="212"/>
      <c r="W95" s="14"/>
      <c r="X95" s="212"/>
      <c r="Y95" s="15"/>
      <c r="Z95" s="212"/>
      <c r="AA95" s="15"/>
      <c r="AB95" s="212"/>
      <c r="AC95" s="212"/>
      <c r="AD95" s="16"/>
      <c r="AE95" s="15"/>
      <c r="AF95" s="212"/>
      <c r="AG95" s="15"/>
      <c r="AH95" s="212"/>
      <c r="AI95" s="15"/>
      <c r="AJ95" s="212"/>
      <c r="AN95" s="142"/>
      <c r="AO95" s="14"/>
      <c r="AP95" s="212"/>
      <c r="AQ95" s="15"/>
      <c r="AR95" s="212"/>
      <c r="AS95" s="15"/>
      <c r="AT95" s="212"/>
      <c r="AU95" s="164"/>
      <c r="AV95" s="294"/>
      <c r="BA95" s="285"/>
      <c r="BB95" s="285"/>
    </row>
    <row r="96" spans="1:54" ht="15.75">
      <c r="A96" s="12"/>
      <c r="B96" s="63" t="s">
        <v>341</v>
      </c>
      <c r="C96" s="142"/>
      <c r="E96" s="142"/>
      <c r="G96" s="142"/>
      <c r="I96" s="12"/>
      <c r="J96" s="142"/>
      <c r="L96" s="142"/>
      <c r="N96" s="142"/>
      <c r="P96" s="142"/>
      <c r="R96" s="142"/>
      <c r="S96" s="142"/>
      <c r="T96" s="13"/>
      <c r="U96" s="142"/>
      <c r="V96" s="142"/>
      <c r="W96" s="12"/>
      <c r="X96" s="142"/>
      <c r="Z96" s="142"/>
      <c r="AB96" s="142"/>
      <c r="AC96" s="142"/>
      <c r="AD96" s="13"/>
      <c r="AF96" s="142"/>
      <c r="AH96" s="142"/>
      <c r="AI96" s="5">
        <v>100</v>
      </c>
      <c r="AJ96" s="128">
        <v>100</v>
      </c>
      <c r="AN96" s="142"/>
      <c r="AO96" s="12"/>
      <c r="AP96" s="142"/>
      <c r="AR96" s="142"/>
      <c r="AT96" s="142"/>
      <c r="AV96" s="142"/>
      <c r="BA96" s="285"/>
      <c r="BB96" s="285"/>
    </row>
    <row r="97" spans="1:54" ht="15.75">
      <c r="A97" s="12"/>
      <c r="B97" s="63" t="s">
        <v>342</v>
      </c>
      <c r="C97" s="141">
        <v>7.8</v>
      </c>
      <c r="D97" s="3">
        <v>7.8</v>
      </c>
      <c r="E97" s="141">
        <v>10.5</v>
      </c>
      <c r="F97" s="3">
        <v>10.5</v>
      </c>
      <c r="G97" s="141">
        <v>5.1</v>
      </c>
      <c r="H97" s="3">
        <v>5.1</v>
      </c>
      <c r="I97" s="61">
        <v>7.2</v>
      </c>
      <c r="J97" s="141">
        <v>7.2</v>
      </c>
      <c r="K97" s="3">
        <v>6.1</v>
      </c>
      <c r="L97" s="141">
        <v>6.1</v>
      </c>
      <c r="M97" s="3">
        <v>14.3</v>
      </c>
      <c r="N97" s="141">
        <v>14.3</v>
      </c>
      <c r="O97" s="3">
        <v>3.2</v>
      </c>
      <c r="P97" s="141">
        <v>3.2</v>
      </c>
      <c r="Q97" s="3">
        <v>4.3</v>
      </c>
      <c r="R97" s="141">
        <v>4.3</v>
      </c>
      <c r="S97" s="141">
        <v>4.4</v>
      </c>
      <c r="T97" s="211">
        <v>4.4</v>
      </c>
      <c r="U97" s="141">
        <v>5.3</v>
      </c>
      <c r="V97" s="141">
        <v>5.3</v>
      </c>
      <c r="W97" s="61">
        <v>4.9</v>
      </c>
      <c r="X97" s="141">
        <v>4.9</v>
      </c>
      <c r="Y97" s="3">
        <v>7.4</v>
      </c>
      <c r="Z97" s="141">
        <v>7.4</v>
      </c>
      <c r="AA97" s="3">
        <v>17</v>
      </c>
      <c r="AB97" s="141">
        <v>17</v>
      </c>
      <c r="AC97" s="141">
        <v>4.8</v>
      </c>
      <c r="AD97" s="211">
        <v>4.8</v>
      </c>
      <c r="AE97" s="3">
        <v>6.5</v>
      </c>
      <c r="AF97" s="141">
        <v>6.5</v>
      </c>
      <c r="AG97" s="3">
        <v>16</v>
      </c>
      <c r="AH97" s="141">
        <v>16</v>
      </c>
      <c r="AI97" s="3">
        <f>AI124</f>
        <v>5.812499999999999</v>
      </c>
      <c r="AJ97" s="141">
        <f>AJ124</f>
        <v>5.812499999999999</v>
      </c>
      <c r="AN97" s="142"/>
      <c r="AO97" s="61">
        <v>0</v>
      </c>
      <c r="AP97" s="141">
        <v>0</v>
      </c>
      <c r="AQ97" s="3">
        <v>0</v>
      </c>
      <c r="AR97" s="141">
        <v>0</v>
      </c>
      <c r="AS97" s="3">
        <v>0</v>
      </c>
      <c r="AT97" s="141">
        <v>0</v>
      </c>
      <c r="AU97" s="169">
        <v>0</v>
      </c>
      <c r="AV97" s="236">
        <v>0</v>
      </c>
      <c r="BA97" s="285"/>
      <c r="BB97" s="285"/>
    </row>
    <row r="98" spans="1:54" ht="15.75">
      <c r="A98" s="47" t="s">
        <v>331</v>
      </c>
      <c r="B98" s="13"/>
      <c r="C98" s="128">
        <f aca="true" t="shared" si="134" ref="C98:L98">(($H$4*C80/C81/10)+C90)*C97/100</f>
        <v>0.06659523975</v>
      </c>
      <c r="D98" s="5">
        <f t="shared" si="134"/>
        <v>0.06659523975</v>
      </c>
      <c r="E98" s="128">
        <f t="shared" si="134"/>
        <v>0.057790114142573845</v>
      </c>
      <c r="F98" s="5">
        <f t="shared" si="134"/>
        <v>0.06298253225654943</v>
      </c>
      <c r="G98" s="128">
        <f t="shared" si="134"/>
        <v>0.030461575951048956</v>
      </c>
      <c r="H98" s="5">
        <f t="shared" si="134"/>
        <v>0.030461575951048956</v>
      </c>
      <c r="I98" s="62">
        <f t="shared" si="134"/>
        <v>0.0413898070194617</v>
      </c>
      <c r="J98" s="128">
        <f t="shared" si="134"/>
        <v>0.0413898070194617</v>
      </c>
      <c r="K98" s="5">
        <f t="shared" si="134"/>
        <v>0.033435154991361585</v>
      </c>
      <c r="L98" s="128">
        <f t="shared" si="134"/>
        <v>0.0364344339806664</v>
      </c>
      <c r="M98" s="5">
        <f aca="true" t="shared" si="135" ref="M98:V98">(($H$4*M80/M81/10)+M90)*M97/100</f>
        <v>0.0783807731764706</v>
      </c>
      <c r="N98" s="128">
        <f t="shared" si="135"/>
        <v>0.08541186982352944</v>
      </c>
      <c r="O98" s="5">
        <f t="shared" si="135"/>
        <v>0.017539753438091325</v>
      </c>
      <c r="P98" s="128">
        <f t="shared" si="135"/>
        <v>0.019113145694775818</v>
      </c>
      <c r="Q98" s="5">
        <f t="shared" si="135"/>
        <v>0.023569043682435217</v>
      </c>
      <c r="R98" s="128">
        <f t="shared" si="135"/>
        <v>0.025683289527355005</v>
      </c>
      <c r="S98" s="128">
        <f t="shared" si="135"/>
        <v>0.025293770956337704</v>
      </c>
      <c r="T98" s="243">
        <f t="shared" si="135"/>
        <v>0.025293770956337704</v>
      </c>
      <c r="U98" s="128">
        <f t="shared" si="135"/>
        <v>0.02604775023923445</v>
      </c>
      <c r="V98" s="128">
        <f t="shared" si="135"/>
        <v>0.024230687081339713</v>
      </c>
      <c r="W98" s="62">
        <f aca="true" t="shared" si="136" ref="W98:AH98">(($H$4*W80/W81/10)+W90)*W97/100</f>
        <v>0.024081882296650724</v>
      </c>
      <c r="X98" s="128">
        <f t="shared" si="136"/>
        <v>0.023241919138755982</v>
      </c>
      <c r="Y98" s="5">
        <f t="shared" si="136"/>
        <v>0.04056067982558619</v>
      </c>
      <c r="Z98" s="128">
        <f t="shared" si="136"/>
        <v>0.04237991462237764</v>
      </c>
      <c r="AA98" s="5">
        <f t="shared" si="136"/>
        <v>0.10153858650349652</v>
      </c>
      <c r="AB98" s="128">
        <f t="shared" si="136"/>
        <v>0.09317994013986017</v>
      </c>
      <c r="AC98" s="128">
        <f t="shared" si="136"/>
        <v>0.028669718542163724</v>
      </c>
      <c r="AD98" s="243">
        <f t="shared" si="136"/>
        <v>0.026309630157136988</v>
      </c>
      <c r="AE98" s="5">
        <f t="shared" si="136"/>
        <v>0.02971688038277512</v>
      </c>
      <c r="AF98" s="128">
        <f t="shared" si="136"/>
        <v>0.02971688038277512</v>
      </c>
      <c r="AG98" s="5">
        <f t="shared" si="136"/>
        <v>0.08769876719045662</v>
      </c>
      <c r="AH98" s="128">
        <f t="shared" si="136"/>
        <v>0.09163224783216785</v>
      </c>
      <c r="AI98" s="5">
        <f>(AI82+AI90)*AI97/100*AI96/100</f>
        <v>0.04371926203547297</v>
      </c>
      <c r="AJ98" s="128">
        <f>(AJ82+AJ90)*AJ97/100*AJ96/100</f>
        <v>0.04985851879222973</v>
      </c>
      <c r="AN98" s="142"/>
      <c r="AO98" s="62">
        <f aca="true" t="shared" si="137" ref="AO98:AV98">(AO82+AO90)*AO97/100</f>
        <v>0</v>
      </c>
      <c r="AP98" s="128">
        <f t="shared" si="137"/>
        <v>0</v>
      </c>
      <c r="AQ98" s="5">
        <f t="shared" si="137"/>
        <v>0</v>
      </c>
      <c r="AR98" s="128">
        <f t="shared" si="137"/>
        <v>0</v>
      </c>
      <c r="AS98" s="5">
        <f t="shared" si="137"/>
        <v>0</v>
      </c>
      <c r="AT98" s="128">
        <f t="shared" si="137"/>
        <v>0</v>
      </c>
      <c r="AU98" s="6">
        <f t="shared" si="137"/>
        <v>0</v>
      </c>
      <c r="AV98" s="288">
        <f t="shared" si="137"/>
        <v>0</v>
      </c>
      <c r="BA98" s="285"/>
      <c r="BB98" s="285"/>
    </row>
    <row r="99" spans="1:48" ht="15.75">
      <c r="A99" s="59" t="s">
        <v>343</v>
      </c>
      <c r="B99" s="16"/>
      <c r="C99" s="212"/>
      <c r="D99" s="15"/>
      <c r="E99" s="212"/>
      <c r="F99" s="15"/>
      <c r="G99" s="212"/>
      <c r="H99" s="15"/>
      <c r="I99" s="14"/>
      <c r="J99" s="212"/>
      <c r="K99" s="15"/>
      <c r="L99" s="212"/>
      <c r="M99" s="15"/>
      <c r="N99" s="212"/>
      <c r="O99" s="15"/>
      <c r="P99" s="212"/>
      <c r="Q99" s="15"/>
      <c r="R99" s="212"/>
      <c r="S99" s="212"/>
      <c r="T99" s="16"/>
      <c r="U99" s="212"/>
      <c r="V99" s="212"/>
      <c r="W99" s="14"/>
      <c r="X99" s="212"/>
      <c r="Y99" s="15"/>
      <c r="Z99" s="212"/>
      <c r="AA99" s="15"/>
      <c r="AB99" s="212"/>
      <c r="AC99" s="212"/>
      <c r="AD99" s="16"/>
      <c r="AE99" s="15"/>
      <c r="AF99" s="212"/>
      <c r="AG99" s="15"/>
      <c r="AH99" s="212"/>
      <c r="AI99" s="15"/>
      <c r="AJ99" s="212"/>
      <c r="AN99" s="142"/>
      <c r="AO99" s="14"/>
      <c r="AP99" s="212"/>
      <c r="AQ99" s="15"/>
      <c r="AR99" s="212"/>
      <c r="AS99" s="15"/>
      <c r="AT99" s="212"/>
      <c r="AU99" s="164"/>
      <c r="AV99" s="294"/>
    </row>
    <row r="100" spans="1:48" ht="15.75">
      <c r="A100" s="12"/>
      <c r="B100" s="63" t="s">
        <v>331</v>
      </c>
      <c r="C100" s="128">
        <f aca="true" t="shared" si="138" ref="C100:L100">C82+C90+C94+C98</f>
        <v>1.4971077473003358</v>
      </c>
      <c r="D100" s="5">
        <f t="shared" si="138"/>
        <v>1.5073028529049677</v>
      </c>
      <c r="E100" s="128">
        <f t="shared" si="138"/>
        <v>0.8824154021005184</v>
      </c>
      <c r="F100" s="5">
        <f t="shared" si="138"/>
        <v>0.9302973281486553</v>
      </c>
      <c r="G100" s="128">
        <f t="shared" si="138"/>
        <v>0.9499101540840583</v>
      </c>
      <c r="H100" s="5">
        <f t="shared" si="138"/>
        <v>1.4678840800226287</v>
      </c>
      <c r="I100" s="62">
        <f t="shared" si="138"/>
        <v>1.0398328635127907</v>
      </c>
      <c r="J100" s="128">
        <f t="shared" si="138"/>
        <v>0.9291152466796329</v>
      </c>
      <c r="K100" s="5">
        <f t="shared" si="138"/>
        <v>0.9097193336402031</v>
      </c>
      <c r="L100" s="128">
        <f t="shared" si="138"/>
        <v>0.9556871505896541</v>
      </c>
      <c r="M100" s="5">
        <f aca="true" t="shared" si="139" ref="M100:V100">M82+M90+M94+M98</f>
        <v>2.2413922666557156</v>
      </c>
      <c r="N100" s="128">
        <f t="shared" si="139"/>
        <v>1.1096404499185826</v>
      </c>
      <c r="O100" s="5">
        <f t="shared" si="139"/>
        <v>0.8456916514558155</v>
      </c>
      <c r="P100" s="128">
        <f t="shared" si="139"/>
        <v>0.8851588253368974</v>
      </c>
      <c r="Q100" s="5">
        <f t="shared" si="139"/>
        <v>2.2267141016643452</v>
      </c>
      <c r="R100" s="128">
        <f t="shared" si="139"/>
        <v>1.102696217635671</v>
      </c>
      <c r="S100" s="128">
        <f t="shared" si="139"/>
        <v>0.8692747487563544</v>
      </c>
      <c r="T100" s="243">
        <f t="shared" si="139"/>
        <v>0.8627996157055057</v>
      </c>
      <c r="U100" s="128">
        <f t="shared" si="139"/>
        <v>0.9308048142929908</v>
      </c>
      <c r="V100" s="128">
        <f t="shared" si="139"/>
        <v>1.478985705342431</v>
      </c>
      <c r="W100" s="62">
        <f aca="true" t="shared" si="140" ref="W100:AJ100">W82+W90+W94+W98</f>
        <v>0.9417356717554028</v>
      </c>
      <c r="X100" s="128">
        <f t="shared" si="140"/>
        <v>1.8284554456393618</v>
      </c>
      <c r="Y100" s="5">
        <f t="shared" si="140"/>
        <v>1.0911332983911164</v>
      </c>
      <c r="Z100" s="128">
        <f t="shared" si="140"/>
        <v>1.122672473907244</v>
      </c>
      <c r="AA100" s="5">
        <f t="shared" si="140"/>
        <v>1.3757979723741633</v>
      </c>
      <c r="AB100" s="128">
        <f t="shared" si="140"/>
        <v>1.347384379950957</v>
      </c>
      <c r="AC100" s="128">
        <f t="shared" si="140"/>
        <v>0.930735113176603</v>
      </c>
      <c r="AD100" s="243">
        <f t="shared" si="140"/>
        <v>1.2472185334890993</v>
      </c>
      <c r="AE100" s="5">
        <f t="shared" si="140"/>
        <v>0.9619126553227959</v>
      </c>
      <c r="AF100" s="128">
        <f t="shared" si="140"/>
        <v>1.0432643656963365</v>
      </c>
      <c r="AG100" s="5">
        <f t="shared" si="140"/>
        <v>1.4010957291652615</v>
      </c>
      <c r="AH100" s="128">
        <f t="shared" si="140"/>
        <v>1.555094570512412</v>
      </c>
      <c r="AI100" s="5">
        <f t="shared" si="140"/>
        <v>0.8029857697751589</v>
      </c>
      <c r="AJ100" s="128">
        <f t="shared" si="140"/>
        <v>0.9143724551541986</v>
      </c>
      <c r="AN100" s="142"/>
      <c r="AO100" s="62">
        <f aca="true" t="shared" si="141" ref="AO100:AV100">AO82+AO90+AO94+AO98</f>
        <v>0.942753549419602</v>
      </c>
      <c r="AP100" s="128">
        <f t="shared" si="141"/>
        <v>0.9429664076464748</v>
      </c>
      <c r="AQ100" s="5">
        <f t="shared" si="141"/>
        <v>0.9427422624782551</v>
      </c>
      <c r="AR100" s="128">
        <f t="shared" si="141"/>
        <v>0.9429935759493672</v>
      </c>
      <c r="AS100" s="5">
        <f t="shared" si="141"/>
        <v>0.9467786111111112</v>
      </c>
      <c r="AT100" s="128">
        <f t="shared" si="141"/>
        <v>0.9467786111111112</v>
      </c>
      <c r="AU100" s="6">
        <f t="shared" si="141"/>
        <v>0.9424860421089881</v>
      </c>
      <c r="AV100" s="288">
        <f t="shared" si="141"/>
        <v>0.9426051936936938</v>
      </c>
    </row>
    <row r="101" spans="1:48" ht="15.75">
      <c r="A101" s="12"/>
      <c r="B101" s="63" t="s">
        <v>344</v>
      </c>
      <c r="C101" s="128">
        <f aca="true" t="shared" si="142" ref="C101:L101">IF(C37=0,"",+C100/C36*100)</f>
        <v>3.402517607500763</v>
      </c>
      <c r="D101" s="5">
        <f t="shared" si="142"/>
        <v>3.1833217590390026</v>
      </c>
      <c r="E101" s="128">
        <f t="shared" si="142"/>
        <v>3.609881190411212</v>
      </c>
      <c r="F101" s="5">
        <f t="shared" si="142"/>
        <v>4.306932074762295</v>
      </c>
      <c r="G101" s="128">
        <f t="shared" si="142"/>
        <v>3.941535909062484</v>
      </c>
      <c r="H101" s="5">
        <f t="shared" si="142"/>
      </c>
      <c r="I101" s="62">
        <f t="shared" si="142"/>
        <v>2.695729857015531</v>
      </c>
      <c r="J101" s="128">
        <f t="shared" si="142"/>
        <v>3.9074940280919126</v>
      </c>
      <c r="K101" s="5">
        <f t="shared" si="142"/>
        <v>3.7230971003913096</v>
      </c>
      <c r="L101" s="128">
        <f t="shared" si="142"/>
        <v>3.831262519067656</v>
      </c>
      <c r="M101" s="5">
        <f aca="true" t="shared" si="143" ref="M101:V101">IF(M37=0,"",+M100/M36*100)</f>
      </c>
      <c r="N101" s="128">
        <f t="shared" si="143"/>
        <v>5.751915939102802</v>
      </c>
      <c r="O101" s="5">
        <f t="shared" si="143"/>
        <v>2.9117157089144365</v>
      </c>
      <c r="P101" s="128">
        <f t="shared" si="143"/>
        <v>3.875193689909802</v>
      </c>
      <c r="Q101" s="5">
        <f t="shared" si="143"/>
      </c>
      <c r="R101" s="128">
        <f t="shared" si="143"/>
        <v>4.375778641411392</v>
      </c>
      <c r="S101" s="128">
        <f t="shared" si="143"/>
        <v>3.4015098864379083</v>
      </c>
      <c r="T101" s="243">
        <f t="shared" si="143"/>
        <v>3.73776006803829</v>
      </c>
      <c r="U101" s="128">
        <f t="shared" si="143"/>
        <v>3.1446108590979414</v>
      </c>
      <c r="V101" s="128">
        <f t="shared" si="143"/>
      </c>
      <c r="W101" s="62">
        <f aca="true" t="shared" si="144" ref="W101:AJ101">IF(W37=0,"",+W100/W36*100)</f>
        <v>3.9679873809918655</v>
      </c>
      <c r="X101" s="128">
        <f t="shared" si="144"/>
      </c>
      <c r="Y101" s="5">
        <f t="shared" si="144"/>
        <v>4.527524059714176</v>
      </c>
      <c r="Z101" s="128">
        <f t="shared" si="144"/>
        <v>4.948115702823307</v>
      </c>
      <c r="AA101" s="5">
        <f t="shared" si="144"/>
        <v>5.628264432439759</v>
      </c>
      <c r="AB101" s="128">
        <f t="shared" si="144"/>
        <v>5.382958348489006</v>
      </c>
      <c r="AC101" s="128">
        <f t="shared" si="144"/>
        <v>3.512207974251332</v>
      </c>
      <c r="AD101" s="243">
        <f t="shared" si="144"/>
      </c>
      <c r="AE101" s="5">
        <f t="shared" si="144"/>
        <v>3.7558411704577708</v>
      </c>
      <c r="AF101" s="128">
        <f t="shared" si="144"/>
        <v>3.696606020183869</v>
      </c>
      <c r="AG101" s="5">
        <f t="shared" si="144"/>
        <v>4.462088309443507</v>
      </c>
      <c r="AH101" s="128">
        <f t="shared" si="144"/>
        <v>5.070960556018734</v>
      </c>
      <c r="AI101" s="5">
        <f t="shared" si="144"/>
        <v>1.9718613718898852</v>
      </c>
      <c r="AJ101" s="128">
        <f t="shared" si="144"/>
        <v>2.297097584476703</v>
      </c>
      <c r="AN101" s="142"/>
      <c r="AO101" s="62">
        <f aca="true" t="shared" si="145" ref="AO101:AV101">IF(AO37=0,"",+AO100/AO36*100)</f>
        <v>2.308156132964205</v>
      </c>
      <c r="AP101" s="128">
        <f t="shared" si="145"/>
        <v>2.263119378351539</v>
      </c>
      <c r="AQ101" s="5">
        <f t="shared" si="145"/>
        <v>2.3296761016760836</v>
      </c>
      <c r="AR101" s="128">
        <f t="shared" si="145"/>
        <v>2.281068156626432</v>
      </c>
      <c r="AS101" s="5">
        <f t="shared" si="145"/>
        <v>1.7042015000000001</v>
      </c>
      <c r="AT101" s="128">
        <f t="shared" si="145"/>
        <v>1.7042015000000001</v>
      </c>
      <c r="AU101" s="5">
        <f t="shared" si="145"/>
        <v>2.359492177741555</v>
      </c>
      <c r="AV101" s="128">
        <f t="shared" si="145"/>
        <v>2.399096955188836</v>
      </c>
    </row>
    <row r="102" spans="1:48" ht="15.75">
      <c r="A102" s="12"/>
      <c r="B102" s="63" t="s">
        <v>345</v>
      </c>
      <c r="C102" s="128">
        <f aca="true" t="shared" si="146" ref="C102:L102">C101*C16</f>
        <v>4.083021129000915</v>
      </c>
      <c r="D102" s="5">
        <f t="shared" si="146"/>
        <v>3.8677359372323883</v>
      </c>
      <c r="E102" s="128">
        <f t="shared" si="146"/>
        <v>3.609881190411212</v>
      </c>
      <c r="F102" s="5">
        <f t="shared" si="146"/>
        <v>4.2207934332670485</v>
      </c>
      <c r="G102" s="128">
        <f t="shared" si="146"/>
        <v>3.902120549971859</v>
      </c>
      <c r="H102" s="5">
        <f t="shared" si="146"/>
        <v>0</v>
      </c>
      <c r="I102" s="62">
        <f t="shared" si="146"/>
        <v>2.9221711650048356</v>
      </c>
      <c r="J102" s="128">
        <f t="shared" si="146"/>
        <v>3.8293441475300742</v>
      </c>
      <c r="K102" s="5">
        <f t="shared" si="146"/>
        <v>3.6374658670823092</v>
      </c>
      <c r="L102" s="128">
        <f t="shared" si="146"/>
        <v>3.697168330900288</v>
      </c>
      <c r="M102" s="5">
        <f aca="true" t="shared" si="147" ref="M102:V102">M101*M16</f>
        <v>0</v>
      </c>
      <c r="N102" s="128">
        <f t="shared" si="147"/>
        <v>5.608118040625232</v>
      </c>
      <c r="O102" s="5">
        <f t="shared" si="147"/>
        <v>2.9990671801818696</v>
      </c>
      <c r="P102" s="128">
        <f t="shared" si="147"/>
        <v>3.817065784561155</v>
      </c>
      <c r="Q102" s="5">
        <f t="shared" si="147"/>
        <v>0</v>
      </c>
      <c r="R102" s="128">
        <f t="shared" si="147"/>
        <v>4.332020854997278</v>
      </c>
      <c r="S102" s="128">
        <f t="shared" si="147"/>
        <v>3.4015098864379083</v>
      </c>
      <c r="T102" s="243">
        <f t="shared" si="147"/>
        <v>3.6443160663373324</v>
      </c>
      <c r="U102" s="128">
        <f t="shared" si="147"/>
        <v>3.1131647505069617</v>
      </c>
      <c r="V102" s="128">
        <f t="shared" si="147"/>
        <v>0</v>
      </c>
      <c r="W102" s="62">
        <f aca="true" t="shared" si="148" ref="W102:AJ102">W101*W16</f>
        <v>4.12670687623154</v>
      </c>
      <c r="X102" s="128">
        <f t="shared" si="148"/>
        <v>0</v>
      </c>
      <c r="Y102" s="5">
        <f t="shared" si="148"/>
        <v>4.482248819117035</v>
      </c>
      <c r="Z102" s="128">
        <f t="shared" si="148"/>
        <v>4.84915338876684</v>
      </c>
      <c r="AA102" s="5">
        <f t="shared" si="148"/>
        <v>5.628264432439759</v>
      </c>
      <c r="AB102" s="128">
        <f t="shared" si="148"/>
        <v>5.30221397326167</v>
      </c>
      <c r="AC102" s="128">
        <f t="shared" si="148"/>
        <v>3.4419638147663054</v>
      </c>
      <c r="AD102" s="243">
        <f t="shared" si="148"/>
        <v>0</v>
      </c>
      <c r="AE102" s="5">
        <f t="shared" si="148"/>
        <v>3.868516405571504</v>
      </c>
      <c r="AF102" s="128">
        <f t="shared" si="148"/>
        <v>3.5117757191746755</v>
      </c>
      <c r="AG102" s="5">
        <f t="shared" si="148"/>
        <v>4.372846543254637</v>
      </c>
      <c r="AH102" s="128">
        <f t="shared" si="148"/>
        <v>4.944186542118265</v>
      </c>
      <c r="AI102" s="5">
        <f t="shared" si="148"/>
        <v>1.9127055307331886</v>
      </c>
      <c r="AJ102" s="128">
        <f t="shared" si="148"/>
        <v>2.2626411207095525</v>
      </c>
      <c r="AN102" s="142"/>
      <c r="AO102" s="62">
        <f aca="true" t="shared" si="149" ref="AO102:AV102">AO101*AO16</f>
        <v>2.7928689208866877</v>
      </c>
      <c r="AP102" s="128">
        <f t="shared" si="149"/>
        <v>2.828899222939424</v>
      </c>
      <c r="AQ102" s="5">
        <f t="shared" si="149"/>
        <v>2.6558307559107353</v>
      </c>
      <c r="AR102" s="128">
        <f t="shared" si="149"/>
        <v>2.8741458773493047</v>
      </c>
      <c r="AS102" s="5">
        <f t="shared" si="149"/>
        <v>1.7042015000000001</v>
      </c>
      <c r="AT102" s="128">
        <f t="shared" si="149"/>
        <v>1.7042015000000001</v>
      </c>
      <c r="AU102" s="5">
        <f t="shared" si="149"/>
        <v>2.7134160044027884</v>
      </c>
      <c r="AV102" s="128">
        <f t="shared" si="149"/>
        <v>2.806943437570938</v>
      </c>
    </row>
    <row r="103" spans="1:48" ht="15.75">
      <c r="A103" s="12"/>
      <c r="B103" s="295" t="s">
        <v>346</v>
      </c>
      <c r="C103" s="128">
        <f aca="true" t="shared" si="150" ref="C103:L103">C102/$J$5</f>
        <v>0.1652242282697036</v>
      </c>
      <c r="D103" s="5">
        <f t="shared" si="150"/>
        <v>0.1565124610404819</v>
      </c>
      <c r="E103" s="128">
        <f t="shared" si="150"/>
        <v>0.14607806694768583</v>
      </c>
      <c r="F103" s="5">
        <f t="shared" si="150"/>
        <v>0.17079934579423148</v>
      </c>
      <c r="G103" s="128">
        <f t="shared" si="150"/>
        <v>0.1579038746346657</v>
      </c>
      <c r="H103" s="5">
        <f t="shared" si="150"/>
        <v>0</v>
      </c>
      <c r="I103" s="62">
        <f t="shared" si="150"/>
        <v>0.1182490759551973</v>
      </c>
      <c r="J103" s="128">
        <f t="shared" si="150"/>
        <v>0.15495889234097096</v>
      </c>
      <c r="K103" s="5">
        <f t="shared" si="150"/>
        <v>0.14719431317102255</v>
      </c>
      <c r="L103" s="128">
        <f t="shared" si="150"/>
        <v>0.14961024323811462</v>
      </c>
      <c r="M103" s="5">
        <f aca="true" t="shared" si="151" ref="M103:V103">M102/$J$5</f>
        <v>0</v>
      </c>
      <c r="N103" s="128">
        <f t="shared" si="151"/>
        <v>0.2269390595915034</v>
      </c>
      <c r="O103" s="5">
        <f t="shared" si="151"/>
        <v>0.12136076319933108</v>
      </c>
      <c r="P103" s="128">
        <f t="shared" si="151"/>
        <v>0.15446203401429084</v>
      </c>
      <c r="Q103" s="5">
        <f t="shared" si="151"/>
        <v>0</v>
      </c>
      <c r="R103" s="128">
        <f t="shared" si="151"/>
        <v>0.17530029358195526</v>
      </c>
      <c r="S103" s="128">
        <f t="shared" si="151"/>
        <v>0.1376460782792938</v>
      </c>
      <c r="T103" s="243">
        <f t="shared" si="151"/>
        <v>0.14747151450053952</v>
      </c>
      <c r="U103" s="128">
        <f t="shared" si="151"/>
        <v>0.12597785490882818</v>
      </c>
      <c r="V103" s="128">
        <f t="shared" si="151"/>
        <v>0</v>
      </c>
      <c r="W103" s="62">
        <f aca="true" t="shared" si="152" ref="W103:AH103">W102/$J$5</f>
        <v>0.16699202315601894</v>
      </c>
      <c r="X103" s="128">
        <f t="shared" si="152"/>
        <v>0</v>
      </c>
      <c r="Y103" s="5">
        <f t="shared" si="152"/>
        <v>0.18137944395909011</v>
      </c>
      <c r="Z103" s="128">
        <f t="shared" si="152"/>
        <v>0.19622666675165265</v>
      </c>
      <c r="AA103" s="5">
        <f t="shared" si="152"/>
        <v>0.2277543069132308</v>
      </c>
      <c r="AB103" s="128">
        <f t="shared" si="152"/>
        <v>0.21456029351172184</v>
      </c>
      <c r="AC103" s="128">
        <f t="shared" si="152"/>
        <v>0.13928309383159215</v>
      </c>
      <c r="AD103" s="243">
        <f t="shared" si="152"/>
        <v>0</v>
      </c>
      <c r="AE103" s="5">
        <f t="shared" si="152"/>
        <v>0.15654404360519197</v>
      </c>
      <c r="AF103" s="128">
        <f t="shared" si="152"/>
        <v>0.14210811424306716</v>
      </c>
      <c r="AG103" s="5">
        <f t="shared" si="152"/>
        <v>0.17695235283484287</v>
      </c>
      <c r="AH103" s="128">
        <f t="shared" si="152"/>
        <v>0.20007229451757305</v>
      </c>
      <c r="AI103" s="5">
        <f>AI102/$AI$5</f>
        <v>0.0958653533847829</v>
      </c>
      <c r="AJ103" s="128">
        <f>AJ102/$AI$5</f>
        <v>0.11340422617830555</v>
      </c>
      <c r="AK103" s="35" t="s">
        <v>347</v>
      </c>
      <c r="AN103" s="142"/>
      <c r="AO103" s="62">
        <f aca="true" t="shared" si="153" ref="AO103:AV103">AO102/$AN$4</f>
        <v>0.1399793965961652</v>
      </c>
      <c r="AP103" s="128">
        <f t="shared" si="153"/>
        <v>0.1417852457367394</v>
      </c>
      <c r="AQ103" s="5">
        <f t="shared" si="153"/>
        <v>0.1331110042056303</v>
      </c>
      <c r="AR103" s="128">
        <f t="shared" si="153"/>
        <v>0.1440530211181488</v>
      </c>
      <c r="AS103" s="5">
        <f t="shared" si="153"/>
        <v>0.08541507117080996</v>
      </c>
      <c r="AT103" s="128">
        <f t="shared" si="153"/>
        <v>0.08541507117080996</v>
      </c>
      <c r="AU103" s="5">
        <f t="shared" si="153"/>
        <v>0.13599719348450223</v>
      </c>
      <c r="AV103" s="128">
        <f t="shared" si="153"/>
        <v>0.14068481543559233</v>
      </c>
    </row>
    <row r="104" spans="1:48" ht="15.75">
      <c r="A104" s="111" t="s">
        <v>348</v>
      </c>
      <c r="B104" s="21"/>
      <c r="C104" s="296">
        <f aca="true" t="shared" si="154" ref="C104:L104">IF(C63=0,"",C55/C103)</f>
        <v>0.9018047871089463</v>
      </c>
      <c r="D104" s="297">
        <f t="shared" si="154"/>
      </c>
      <c r="E104" s="296">
        <f t="shared" si="154"/>
        <v>0.8625524873978769</v>
      </c>
      <c r="F104" s="297">
        <f t="shared" si="154"/>
      </c>
      <c r="G104" s="296">
        <f t="shared" si="154"/>
        <v>0.886615355854383</v>
      </c>
      <c r="H104" s="297">
        <f t="shared" si="154"/>
      </c>
      <c r="I104" s="298">
        <f t="shared" si="154"/>
      </c>
      <c r="J104" s="296">
        <f t="shared" si="154"/>
        <v>0.8389321712105976</v>
      </c>
      <c r="K104" s="297">
        <f t="shared" si="154"/>
      </c>
      <c r="L104" s="296">
        <f t="shared" si="154"/>
        <v>0.9070234568366048</v>
      </c>
      <c r="M104" s="297">
        <f aca="true" t="shared" si="155" ref="M104:V104">IF(M63=0,"",M55/M103)</f>
      </c>
      <c r="N104" s="296">
        <f t="shared" si="155"/>
        <v>1.2470308130711734</v>
      </c>
      <c r="O104" s="297">
        <f t="shared" si="155"/>
      </c>
      <c r="P104" s="296">
        <f t="shared" si="155"/>
        <v>0.8027862690745579</v>
      </c>
      <c r="Q104" s="297">
        <f t="shared" si="155"/>
      </c>
      <c r="R104" s="296">
        <f t="shared" si="155"/>
        <v>1.2778073294856005</v>
      </c>
      <c r="S104" s="299">
        <f t="shared" si="155"/>
      </c>
      <c r="T104" s="299">
        <f t="shared" si="155"/>
        <v>0.6984399688905559</v>
      </c>
      <c r="U104" s="299">
        <f t="shared" si="155"/>
        <v>1.1033685253697654</v>
      </c>
      <c r="V104" s="299">
        <f t="shared" si="155"/>
      </c>
      <c r="W104" s="298">
        <f aca="true" t="shared" si="156" ref="W104:AJ104">IF(W63=0,"",W55/W103)</f>
        <v>0.9281880479715194</v>
      </c>
      <c r="X104" s="296">
        <f t="shared" si="156"/>
      </c>
      <c r="Y104" s="297">
        <f t="shared" si="156"/>
        <v>1.405892500461711</v>
      </c>
      <c r="Z104" s="296">
        <f t="shared" si="156"/>
      </c>
      <c r="AA104" s="297">
        <f t="shared" si="156"/>
      </c>
      <c r="AB104" s="296">
        <f t="shared" si="156"/>
      </c>
      <c r="AC104" s="299">
        <f t="shared" si="156"/>
        <v>1.048224849000908</v>
      </c>
      <c r="AD104" s="299">
        <f t="shared" si="156"/>
      </c>
      <c r="AE104" s="297">
        <f t="shared" si="156"/>
        <v>0.8144672710867124</v>
      </c>
      <c r="AF104" s="296">
        <f t="shared" si="156"/>
      </c>
      <c r="AG104" s="297">
        <f t="shared" si="156"/>
      </c>
      <c r="AH104" s="296">
        <f t="shared" si="156"/>
      </c>
      <c r="AI104" s="297">
        <f t="shared" si="156"/>
        <v>1.210030484469201</v>
      </c>
      <c r="AJ104" s="296">
        <f t="shared" si="156"/>
        <v>1.031707582185172</v>
      </c>
      <c r="AK104" s="296">
        <f>AK144</f>
        <v>0.9297250116973452</v>
      </c>
      <c r="AL104" s="1" t="s">
        <v>349</v>
      </c>
      <c r="AN104" s="20"/>
      <c r="AO104" s="298">
        <f aca="true" t="shared" si="157" ref="AO104:AV104">IF(AO103=0,"",AO55/AO103)</f>
        <v>1.2573278945311697</v>
      </c>
      <c r="AP104" s="296">
        <f t="shared" si="157"/>
        <v>1.4811132068700488</v>
      </c>
      <c r="AQ104" s="297">
        <f t="shared" si="157"/>
        <v>0.7963278515745466</v>
      </c>
      <c r="AR104" s="296">
        <f t="shared" si="157"/>
        <v>0.9232711606299226</v>
      </c>
      <c r="AS104" s="297">
        <f t="shared" si="157"/>
        <v>0</v>
      </c>
      <c r="AT104" s="296">
        <f t="shared" si="157"/>
        <v>0</v>
      </c>
      <c r="AU104" s="297">
        <f t="shared" si="157"/>
        <v>1.19120105238393</v>
      </c>
      <c r="AV104" s="296">
        <f t="shared" si="157"/>
        <v>1.2083749015388845</v>
      </c>
    </row>
    <row r="105" spans="3:54" ht="15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5">
        <f>AK145</f>
        <v>1.1003618995645232</v>
      </c>
      <c r="AL105" s="8" t="s">
        <v>350</v>
      </c>
      <c r="AM105" s="4"/>
      <c r="AO105" s="6"/>
      <c r="AP105" s="6"/>
      <c r="AW105" s="6"/>
      <c r="AX105" s="6"/>
      <c r="AY105" s="6"/>
      <c r="AZ105" s="6"/>
      <c r="BA105" s="6"/>
      <c r="BB105" s="6"/>
    </row>
    <row r="106" ht="15.75">
      <c r="C106" s="1" t="s">
        <v>351</v>
      </c>
    </row>
    <row r="107" ht="15.75">
      <c r="C107" s="1" t="s">
        <v>352</v>
      </c>
    </row>
    <row r="108" ht="15.75">
      <c r="B108" s="24"/>
    </row>
    <row r="110" spans="1:48" ht="15.75">
      <c r="A110" s="59" t="s">
        <v>353</v>
      </c>
      <c r="B110" s="16"/>
      <c r="C110" s="212"/>
      <c r="D110" s="15"/>
      <c r="E110" s="212"/>
      <c r="F110" s="15"/>
      <c r="G110" s="212"/>
      <c r="H110" s="15"/>
      <c r="I110" s="14"/>
      <c r="J110" s="212"/>
      <c r="K110" s="15"/>
      <c r="L110" s="212"/>
      <c r="M110" s="15"/>
      <c r="N110" s="212"/>
      <c r="O110" s="15"/>
      <c r="P110" s="212"/>
      <c r="Q110" s="15"/>
      <c r="R110" s="212"/>
      <c r="S110" s="212"/>
      <c r="T110" s="16"/>
      <c r="U110" s="212"/>
      <c r="V110" s="212"/>
      <c r="W110" s="14"/>
      <c r="X110" s="212"/>
      <c r="Y110" s="15"/>
      <c r="Z110" s="212"/>
      <c r="AA110" s="15"/>
      <c r="AB110" s="212"/>
      <c r="AC110" s="212"/>
      <c r="AD110" s="16"/>
      <c r="AE110" s="15"/>
      <c r="AF110" s="212"/>
      <c r="AG110" s="15"/>
      <c r="AH110" s="212"/>
      <c r="AI110" s="15"/>
      <c r="AJ110" s="212"/>
      <c r="AN110" s="212"/>
      <c r="AO110" s="14"/>
      <c r="AP110" s="212"/>
      <c r="AQ110" s="15"/>
      <c r="AR110" s="212"/>
      <c r="AS110" s="15"/>
      <c r="AT110" s="212"/>
      <c r="AU110" s="15"/>
      <c r="AV110" s="212"/>
    </row>
    <row r="111" spans="1:48" ht="15.75">
      <c r="A111" s="12"/>
      <c r="B111" s="63" t="s">
        <v>294</v>
      </c>
      <c r="C111" s="128">
        <f aca="true" t="shared" si="158" ref="C111:L111">$J$5*C103</f>
        <v>4.083021129000915</v>
      </c>
      <c r="D111" s="5">
        <f t="shared" si="158"/>
        <v>3.8677359372323883</v>
      </c>
      <c r="E111" s="128">
        <f t="shared" si="158"/>
        <v>3.6098811904112122</v>
      </c>
      <c r="F111" s="5">
        <f t="shared" si="158"/>
        <v>4.2207934332670485</v>
      </c>
      <c r="G111" s="128">
        <f t="shared" si="158"/>
        <v>3.9021205499718588</v>
      </c>
      <c r="H111" s="5">
        <f t="shared" si="158"/>
        <v>0</v>
      </c>
      <c r="I111" s="62">
        <f t="shared" si="158"/>
        <v>2.9221711650048356</v>
      </c>
      <c r="J111" s="128">
        <f t="shared" si="158"/>
        <v>3.8293441475300742</v>
      </c>
      <c r="K111" s="5">
        <f t="shared" si="158"/>
        <v>3.6374658670823092</v>
      </c>
      <c r="L111" s="128">
        <f t="shared" si="158"/>
        <v>3.6971683309002885</v>
      </c>
      <c r="M111" s="5">
        <f aca="true" t="shared" si="159" ref="M111:V111">$J$5*M103</f>
        <v>0</v>
      </c>
      <c r="N111" s="128">
        <f t="shared" si="159"/>
        <v>5.608118040625232</v>
      </c>
      <c r="O111" s="5">
        <f t="shared" si="159"/>
        <v>2.9990671801818696</v>
      </c>
      <c r="P111" s="128">
        <f t="shared" si="159"/>
        <v>3.817065784561155</v>
      </c>
      <c r="Q111" s="5">
        <f t="shared" si="159"/>
        <v>0</v>
      </c>
      <c r="R111" s="128">
        <f t="shared" si="159"/>
        <v>4.332020854997278</v>
      </c>
      <c r="S111" s="128">
        <f t="shared" si="159"/>
        <v>3.401509886437908</v>
      </c>
      <c r="T111" s="243">
        <f t="shared" si="159"/>
        <v>3.644316066337333</v>
      </c>
      <c r="U111" s="128">
        <f t="shared" si="159"/>
        <v>3.1131647505069617</v>
      </c>
      <c r="V111" s="128">
        <f t="shared" si="159"/>
        <v>0</v>
      </c>
      <c r="W111" s="62">
        <f aca="true" t="shared" si="160" ref="W111:AH111">$J$5*W103</f>
        <v>4.12670687623154</v>
      </c>
      <c r="X111" s="128">
        <f t="shared" si="160"/>
        <v>0</v>
      </c>
      <c r="Y111" s="5">
        <f t="shared" si="160"/>
        <v>4.482248819117035</v>
      </c>
      <c r="Z111" s="128">
        <f t="shared" si="160"/>
        <v>4.84915338876684</v>
      </c>
      <c r="AA111" s="5">
        <f t="shared" si="160"/>
        <v>5.628264432439759</v>
      </c>
      <c r="AB111" s="128">
        <f t="shared" si="160"/>
        <v>5.30221397326167</v>
      </c>
      <c r="AC111" s="128">
        <f t="shared" si="160"/>
        <v>3.4419638147663054</v>
      </c>
      <c r="AD111" s="243">
        <f t="shared" si="160"/>
        <v>0</v>
      </c>
      <c r="AE111" s="5">
        <f t="shared" si="160"/>
        <v>3.868516405571504</v>
      </c>
      <c r="AF111" s="128">
        <f t="shared" si="160"/>
        <v>3.5117757191746755</v>
      </c>
      <c r="AG111" s="5">
        <f t="shared" si="160"/>
        <v>4.372846543254637</v>
      </c>
      <c r="AH111" s="128">
        <f t="shared" si="160"/>
        <v>4.944186542118265</v>
      </c>
      <c r="AI111" s="5">
        <f>$AI$5*AI103</f>
        <v>1.9127055307331886</v>
      </c>
      <c r="AJ111" s="128">
        <f>$AI$5*AJ103</f>
        <v>2.2626411207095525</v>
      </c>
      <c r="AN111" s="142"/>
      <c r="AO111" s="62">
        <f aca="true" t="shared" si="161" ref="AO111:AV111">AO102</f>
        <v>2.7928689208866877</v>
      </c>
      <c r="AP111" s="128">
        <f t="shared" si="161"/>
        <v>2.828899222939424</v>
      </c>
      <c r="AQ111" s="5">
        <f t="shared" si="161"/>
        <v>2.6558307559107353</v>
      </c>
      <c r="AR111" s="128">
        <f t="shared" si="161"/>
        <v>2.8741458773493047</v>
      </c>
      <c r="AS111" s="5">
        <f t="shared" si="161"/>
        <v>1.7042015000000001</v>
      </c>
      <c r="AT111" s="128">
        <f t="shared" si="161"/>
        <v>1.7042015000000001</v>
      </c>
      <c r="AU111" s="5">
        <f t="shared" si="161"/>
        <v>2.7134160044027884</v>
      </c>
      <c r="AV111" s="128">
        <f t="shared" si="161"/>
        <v>2.806943437570938</v>
      </c>
    </row>
    <row r="112" spans="1:48" ht="15.75">
      <c r="A112" s="12"/>
      <c r="B112" s="63" t="s">
        <v>298</v>
      </c>
      <c r="C112" s="128">
        <f aca="true" t="shared" si="162" ref="C112:L112">C111*C21</f>
        <v>119.26504717811675</v>
      </c>
      <c r="D112" s="5">
        <f t="shared" si="162"/>
        <v>0</v>
      </c>
      <c r="E112" s="128">
        <f t="shared" si="162"/>
        <v>140.4965759308044</v>
      </c>
      <c r="F112" s="5">
        <f t="shared" si="162"/>
        <v>149.37387960332086</v>
      </c>
      <c r="G112" s="128">
        <f t="shared" si="162"/>
        <v>120.22433414463296</v>
      </c>
      <c r="H112" s="5">
        <f t="shared" si="162"/>
        <v>0</v>
      </c>
      <c r="I112" s="62">
        <f t="shared" si="162"/>
        <v>0</v>
      </c>
      <c r="J112" s="128">
        <f t="shared" si="162"/>
        <v>263.6503445574456</v>
      </c>
      <c r="K112" s="5">
        <f t="shared" si="162"/>
        <v>0</v>
      </c>
      <c r="L112" s="128">
        <f t="shared" si="162"/>
        <v>271.88975905440725</v>
      </c>
      <c r="M112" s="5">
        <f aca="true" t="shared" si="163" ref="M112:V112">M111*M21</f>
        <v>0</v>
      </c>
      <c r="N112" s="128">
        <f t="shared" si="163"/>
        <v>228.13824189263445</v>
      </c>
      <c r="O112" s="5">
        <f t="shared" si="163"/>
        <v>0</v>
      </c>
      <c r="P112" s="128">
        <f t="shared" si="163"/>
        <v>141.30777534445397</v>
      </c>
      <c r="Q112" s="5">
        <f t="shared" si="163"/>
        <v>0</v>
      </c>
      <c r="R112" s="128">
        <f t="shared" si="163"/>
        <v>174.6237606649403</v>
      </c>
      <c r="S112" s="128">
        <f t="shared" si="163"/>
        <v>0</v>
      </c>
      <c r="T112" s="243">
        <f t="shared" si="163"/>
        <v>181.12250849696545</v>
      </c>
      <c r="U112" s="128">
        <f t="shared" si="163"/>
        <v>122.19171645739824</v>
      </c>
      <c r="V112" s="128">
        <f t="shared" si="163"/>
        <v>0</v>
      </c>
      <c r="W112" s="62">
        <f aca="true" t="shared" si="164" ref="W112:AJ112">W111*W21</f>
        <v>194.53296214555482</v>
      </c>
      <c r="X112" s="128">
        <f t="shared" si="164"/>
        <v>0</v>
      </c>
      <c r="Y112" s="5">
        <f t="shared" si="164"/>
        <v>144.55252441652436</v>
      </c>
      <c r="Z112" s="128">
        <f t="shared" si="164"/>
        <v>0</v>
      </c>
      <c r="AA112" s="5">
        <f t="shared" si="164"/>
        <v>0</v>
      </c>
      <c r="AB112" s="128">
        <f t="shared" si="164"/>
        <v>0</v>
      </c>
      <c r="AC112" s="128">
        <f t="shared" si="164"/>
        <v>149.243551008267</v>
      </c>
      <c r="AD112" s="243">
        <f t="shared" si="164"/>
        <v>0</v>
      </c>
      <c r="AE112" s="5">
        <f t="shared" si="164"/>
        <v>97.87346506095905</v>
      </c>
      <c r="AF112" s="128">
        <f t="shared" si="164"/>
        <v>0</v>
      </c>
      <c r="AG112" s="5">
        <f t="shared" si="164"/>
        <v>160.74583893004043</v>
      </c>
      <c r="AH112" s="128">
        <f t="shared" si="164"/>
        <v>179.07843655552355</v>
      </c>
      <c r="AI112" s="5">
        <f t="shared" si="164"/>
        <v>45.15897758061058</v>
      </c>
      <c r="AJ112" s="128">
        <f t="shared" si="164"/>
        <v>53.42095685995253</v>
      </c>
      <c r="AN112" s="142"/>
      <c r="AO112" s="62">
        <f aca="true" t="shared" si="165" ref="AO112:AV112">AO111*AO21</f>
        <v>90.09795138780454</v>
      </c>
      <c r="AP112" s="128">
        <f t="shared" si="165"/>
        <v>93.18394040362462</v>
      </c>
      <c r="AQ112" s="5">
        <f t="shared" si="165"/>
        <v>89.15623847592339</v>
      </c>
      <c r="AR112" s="128">
        <f t="shared" si="165"/>
        <v>96.68626731403062</v>
      </c>
      <c r="AS112" s="5">
        <f t="shared" si="165"/>
        <v>51.126045000000005</v>
      </c>
      <c r="AT112" s="128">
        <f t="shared" si="165"/>
        <v>51.126045000000005</v>
      </c>
      <c r="AU112" s="5">
        <f t="shared" si="165"/>
        <v>84.60431101727895</v>
      </c>
      <c r="AV112" s="128">
        <f t="shared" si="165"/>
        <v>88.69941262724164</v>
      </c>
    </row>
    <row r="113" spans="1:48" ht="15.75">
      <c r="A113" s="12"/>
      <c r="B113" s="63" t="s">
        <v>299</v>
      </c>
      <c r="C113" s="128">
        <f aca="true" t="shared" si="166" ref="C113:L113">IF(C16=0,"",C111/C16*C42*C27/100)</f>
        <v>1.162904906741372</v>
      </c>
      <c r="D113" s="5">
        <f t="shared" si="166"/>
        <v>1.2392870565548777</v>
      </c>
      <c r="E113" s="128">
        <f t="shared" si="166"/>
        <v>5.504882739027078</v>
      </c>
      <c r="F113" s="5">
        <f t="shared" si="166"/>
        <v>6.116758336557214</v>
      </c>
      <c r="G113" s="128">
        <f t="shared" si="166"/>
        <v>9.669615635017893</v>
      </c>
      <c r="H113" s="5">
        <f t="shared" si="166"/>
      </c>
      <c r="I113" s="62">
        <f t="shared" si="166"/>
        <v>0.9363123441202995</v>
      </c>
      <c r="J113" s="128">
        <f t="shared" si="166"/>
        <v>10.058002164136592</v>
      </c>
      <c r="K113" s="5">
        <f t="shared" si="166"/>
        <v>6.788384299783689</v>
      </c>
      <c r="L113" s="128">
        <f t="shared" si="166"/>
        <v>9.455286176177632</v>
      </c>
      <c r="M113" s="5">
        <f aca="true" t="shared" si="167" ref="M113:V113">IF(M16=0,"",M111/M16*M42*M27/100)</f>
      </c>
      <c r="N113" s="128">
        <f t="shared" si="167"/>
        <v>8.45235462301994</v>
      </c>
      <c r="O113" s="5">
        <f t="shared" si="167"/>
        <v>5.706663594804158</v>
      </c>
      <c r="P113" s="128">
        <f t="shared" si="167"/>
        <v>10.186449989603098</v>
      </c>
      <c r="Q113" s="5">
        <f t="shared" si="167"/>
      </c>
      <c r="R113" s="128">
        <f t="shared" si="167"/>
        <v>10.180595570912002</v>
      </c>
      <c r="S113" s="128">
        <f t="shared" si="167"/>
        <v>6.031192632664492</v>
      </c>
      <c r="T113" s="243">
        <f t="shared" si="167"/>
        <v>10.57959531321993</v>
      </c>
      <c r="U113" s="128">
        <f t="shared" si="167"/>
        <v>6.4966851631589835</v>
      </c>
      <c r="V113" s="128">
        <f t="shared" si="167"/>
      </c>
      <c r="W113" s="62">
        <f aca="true" t="shared" si="168" ref="W113:AJ113">IF(W16=0,"",W111/W16*W42*W27/100)</f>
        <v>10.286302523283593</v>
      </c>
      <c r="X113" s="128">
        <f t="shared" si="168"/>
      </c>
      <c r="Y113" s="5">
        <f t="shared" si="168"/>
        <v>9.683197740983212</v>
      </c>
      <c r="Z113" s="128">
        <f t="shared" si="168"/>
        <v>5.126128567975968</v>
      </c>
      <c r="AA113" s="5">
        <f t="shared" si="168"/>
        <v>7.4206055491208325</v>
      </c>
      <c r="AB113" s="128">
        <f t="shared" si="168"/>
        <v>5.605067182411806</v>
      </c>
      <c r="AC113" s="128">
        <f t="shared" si="168"/>
        <v>8.326798860682645</v>
      </c>
      <c r="AD113" s="243">
        <f t="shared" si="168"/>
      </c>
      <c r="AE113" s="5">
        <f t="shared" si="168"/>
        <v>9.86698198158603</v>
      </c>
      <c r="AF113" s="128">
        <f t="shared" si="168"/>
        <v>2.735871302510075</v>
      </c>
      <c r="AG113" s="5">
        <f t="shared" si="168"/>
        <v>4.517235827507224</v>
      </c>
      <c r="AH113" s="128">
        <f t="shared" si="168"/>
        <v>0</v>
      </c>
      <c r="AI113" s="5">
        <f t="shared" si="168"/>
        <v>0.8852461662379484</v>
      </c>
      <c r="AJ113" s="128">
        <f t="shared" si="168"/>
        <v>1.2888674235745525</v>
      </c>
      <c r="AN113" s="142"/>
      <c r="AO113" s="62">
        <f aca="true" t="shared" si="169" ref="AO113:AV113">IF(AO16=0,"",AO111/AO16*AO42*AO27/100)</f>
        <v>1.7808627669015586</v>
      </c>
      <c r="AP113" s="128">
        <f t="shared" si="169"/>
        <v>1.731337642338663</v>
      </c>
      <c r="AQ113" s="5">
        <f t="shared" si="169"/>
        <v>1.6934808766076503</v>
      </c>
      <c r="AR113" s="128">
        <f t="shared" si="169"/>
        <v>1.5831264740746476</v>
      </c>
      <c r="AS113" s="5">
        <f t="shared" si="169"/>
        <v>0</v>
      </c>
      <c r="AT113" s="128">
        <f t="shared" si="169"/>
        <v>0</v>
      </c>
      <c r="AU113" s="5">
        <f t="shared" si="169"/>
        <v>2.0447817024223403</v>
      </c>
      <c r="AV113" s="128">
        <f t="shared" si="169"/>
        <v>1.7179003034022589</v>
      </c>
    </row>
    <row r="114" spans="1:48" ht="15.75">
      <c r="A114" s="12"/>
      <c r="B114" s="63" t="s">
        <v>300</v>
      </c>
      <c r="C114" s="128">
        <f aca="true" t="shared" si="170" ref="C114:L114">C112+C113</f>
        <v>120.42795208485812</v>
      </c>
      <c r="D114" s="5">
        <f t="shared" si="170"/>
        <v>1.2392870565548777</v>
      </c>
      <c r="E114" s="128">
        <f t="shared" si="170"/>
        <v>146.00145866983146</v>
      </c>
      <c r="F114" s="5">
        <f t="shared" si="170"/>
        <v>155.49063793987807</v>
      </c>
      <c r="G114" s="128">
        <f t="shared" si="170"/>
        <v>129.89394977965085</v>
      </c>
      <c r="H114" s="5">
        <f t="shared" si="170"/>
        <v>0</v>
      </c>
      <c r="I114" s="62">
        <f t="shared" si="170"/>
        <v>0.9363123441202995</v>
      </c>
      <c r="J114" s="128">
        <f t="shared" si="170"/>
        <v>273.7083467215822</v>
      </c>
      <c r="K114" s="5">
        <f t="shared" si="170"/>
        <v>6.788384299783689</v>
      </c>
      <c r="L114" s="128">
        <f t="shared" si="170"/>
        <v>281.3450452305849</v>
      </c>
      <c r="M114" s="5">
        <f aca="true" t="shared" si="171" ref="M114:V114">M112+M113</f>
        <v>0</v>
      </c>
      <c r="N114" s="128">
        <f t="shared" si="171"/>
        <v>236.5905965156544</v>
      </c>
      <c r="O114" s="5">
        <f t="shared" si="171"/>
        <v>5.706663594804158</v>
      </c>
      <c r="P114" s="128">
        <f t="shared" si="171"/>
        <v>151.49422533405706</v>
      </c>
      <c r="Q114" s="5">
        <f t="shared" si="171"/>
        <v>0</v>
      </c>
      <c r="R114" s="128">
        <f t="shared" si="171"/>
        <v>184.8043562358523</v>
      </c>
      <c r="S114" s="128">
        <f t="shared" si="171"/>
        <v>6.031192632664492</v>
      </c>
      <c r="T114" s="243">
        <f t="shared" si="171"/>
        <v>191.70210381018538</v>
      </c>
      <c r="U114" s="128">
        <f t="shared" si="171"/>
        <v>128.68840162055722</v>
      </c>
      <c r="V114" s="128">
        <f t="shared" si="171"/>
        <v>0</v>
      </c>
      <c r="W114" s="62">
        <f aca="true" t="shared" si="172" ref="W114:AJ114">W112+W113</f>
        <v>204.8192646688384</v>
      </c>
      <c r="X114" s="128">
        <f t="shared" si="172"/>
        <v>0</v>
      </c>
      <c r="Y114" s="5">
        <f t="shared" si="172"/>
        <v>154.23572215750758</v>
      </c>
      <c r="Z114" s="128">
        <f t="shared" si="172"/>
        <v>5.126128567975968</v>
      </c>
      <c r="AA114" s="5">
        <f t="shared" si="172"/>
        <v>7.4206055491208325</v>
      </c>
      <c r="AB114" s="128">
        <f t="shared" si="172"/>
        <v>5.605067182411806</v>
      </c>
      <c r="AC114" s="128">
        <f t="shared" si="172"/>
        <v>157.57034986894965</v>
      </c>
      <c r="AD114" s="243">
        <f t="shared" si="172"/>
        <v>0</v>
      </c>
      <c r="AE114" s="5">
        <f t="shared" si="172"/>
        <v>107.74044704254507</v>
      </c>
      <c r="AF114" s="128">
        <f t="shared" si="172"/>
        <v>2.735871302510075</v>
      </c>
      <c r="AG114" s="5">
        <f t="shared" si="172"/>
        <v>165.26307475754766</v>
      </c>
      <c r="AH114" s="128">
        <f t="shared" si="172"/>
        <v>179.07843655552355</v>
      </c>
      <c r="AI114" s="5">
        <f t="shared" si="172"/>
        <v>46.04422374684853</v>
      </c>
      <c r="AJ114" s="128">
        <f t="shared" si="172"/>
        <v>54.709824283527084</v>
      </c>
      <c r="AK114" s="300" t="s">
        <v>354</v>
      </c>
      <c r="AL114" s="258"/>
      <c r="AM114" s="266">
        <f>AM115+AM116</f>
        <v>7.959172215487456</v>
      </c>
      <c r="AN114" s="142"/>
      <c r="AO114" s="62">
        <f aca="true" t="shared" si="173" ref="AO114:AV114">AO112+AO113</f>
        <v>91.8788141547061</v>
      </c>
      <c r="AP114" s="128">
        <f t="shared" si="173"/>
        <v>94.91527804596328</v>
      </c>
      <c r="AQ114" s="5">
        <f t="shared" si="173"/>
        <v>90.84971935253104</v>
      </c>
      <c r="AR114" s="128">
        <f t="shared" si="173"/>
        <v>98.26939378810526</v>
      </c>
      <c r="AS114" s="5">
        <f t="shared" si="173"/>
        <v>51.126045000000005</v>
      </c>
      <c r="AT114" s="128">
        <f t="shared" si="173"/>
        <v>51.126045000000005</v>
      </c>
      <c r="AU114" s="5">
        <f t="shared" si="173"/>
        <v>86.64909271970129</v>
      </c>
      <c r="AV114" s="128">
        <f t="shared" si="173"/>
        <v>90.4173129306439</v>
      </c>
    </row>
    <row r="115" spans="1:54" ht="15.75">
      <c r="A115" s="178"/>
      <c r="B115" s="301" t="s">
        <v>302</v>
      </c>
      <c r="C115" s="296">
        <f aca="true" t="shared" si="174" ref="C115:L115">C114*C63/100</f>
        <v>14.451354250182973</v>
      </c>
      <c r="D115" s="297">
        <f t="shared" si="174"/>
        <v>0</v>
      </c>
      <c r="E115" s="296">
        <f t="shared" si="174"/>
        <v>11.680116693586518</v>
      </c>
      <c r="F115" s="297">
        <f t="shared" si="174"/>
        <v>0</v>
      </c>
      <c r="G115" s="296">
        <f t="shared" si="174"/>
        <v>15.587273973558103</v>
      </c>
      <c r="H115" s="297">
        <f t="shared" si="174"/>
        <v>0</v>
      </c>
      <c r="I115" s="298">
        <f t="shared" si="174"/>
        <v>0</v>
      </c>
      <c r="J115" s="296">
        <f t="shared" si="174"/>
        <v>19.159584270510756</v>
      </c>
      <c r="K115" s="297">
        <f t="shared" si="174"/>
        <v>0</v>
      </c>
      <c r="L115" s="296">
        <f t="shared" si="174"/>
        <v>25.321054070752645</v>
      </c>
      <c r="M115" s="297">
        <f aca="true" t="shared" si="175" ref="M115:V115">M114*M63/100</f>
        <v>0</v>
      </c>
      <c r="N115" s="296">
        <f t="shared" si="175"/>
        <v>7.097717895469632</v>
      </c>
      <c r="O115" s="297">
        <f t="shared" si="175"/>
        <v>0</v>
      </c>
      <c r="P115" s="296">
        <f t="shared" si="175"/>
        <v>21.20919154676799</v>
      </c>
      <c r="Q115" s="297">
        <f t="shared" si="175"/>
        <v>0</v>
      </c>
      <c r="R115" s="296">
        <f t="shared" si="175"/>
        <v>12.936304936509663</v>
      </c>
      <c r="S115" s="296">
        <f t="shared" si="175"/>
        <v>0</v>
      </c>
      <c r="T115" s="299">
        <f t="shared" si="175"/>
        <v>15.33616830481483</v>
      </c>
      <c r="U115" s="296">
        <f t="shared" si="175"/>
        <v>7.721304097233433</v>
      </c>
      <c r="V115" s="296">
        <f t="shared" si="175"/>
        <v>0</v>
      </c>
      <c r="W115" s="298">
        <f aca="true" t="shared" si="176" ref="W115:AJ115">W114*W63/100</f>
        <v>8.192770586753536</v>
      </c>
      <c r="X115" s="296">
        <f t="shared" si="176"/>
        <v>0</v>
      </c>
      <c r="Y115" s="297">
        <f t="shared" si="176"/>
        <v>3.0847144431501516</v>
      </c>
      <c r="Z115" s="296">
        <f t="shared" si="176"/>
        <v>0</v>
      </c>
      <c r="AA115" s="297">
        <f t="shared" si="176"/>
        <v>0</v>
      </c>
      <c r="AB115" s="296">
        <f t="shared" si="176"/>
        <v>0</v>
      </c>
      <c r="AC115" s="296">
        <f t="shared" si="176"/>
        <v>9.45422099213698</v>
      </c>
      <c r="AD115" s="299">
        <f t="shared" si="176"/>
        <v>0</v>
      </c>
      <c r="AE115" s="297">
        <f t="shared" si="176"/>
        <v>2.1548089408509012</v>
      </c>
      <c r="AF115" s="296">
        <f t="shared" si="176"/>
        <v>0</v>
      </c>
      <c r="AG115" s="297">
        <f t="shared" si="176"/>
        <v>0</v>
      </c>
      <c r="AH115" s="296">
        <f t="shared" si="176"/>
        <v>0</v>
      </c>
      <c r="AI115" s="297">
        <f t="shared" si="176"/>
        <v>15.599783005432283</v>
      </c>
      <c r="AJ115" s="296">
        <f t="shared" si="176"/>
        <v>29.60895690224486</v>
      </c>
      <c r="AK115" s="302" t="s">
        <v>355</v>
      </c>
      <c r="AL115" s="266">
        <f>SUM(C115:AH115)</f>
        <v>173.3865850022781</v>
      </c>
      <c r="AM115" s="88">
        <f>AL115-AL62</f>
        <v>12.174430632127951</v>
      </c>
      <c r="AN115" s="142"/>
      <c r="AO115" s="298">
        <f aca="true" t="shared" si="177" ref="AO115:AV115">AO114*AO63/100</f>
        <v>5.512728849282366</v>
      </c>
      <c r="AP115" s="296">
        <f t="shared" si="177"/>
        <v>5.694916682757796</v>
      </c>
      <c r="AQ115" s="297">
        <f t="shared" si="177"/>
        <v>9.084971935253105</v>
      </c>
      <c r="AR115" s="296">
        <f t="shared" si="177"/>
        <v>9.826939378810527</v>
      </c>
      <c r="AS115" s="297">
        <f t="shared" si="177"/>
        <v>0</v>
      </c>
      <c r="AT115" s="296">
        <f t="shared" si="177"/>
        <v>0</v>
      </c>
      <c r="AU115" s="297">
        <f t="shared" si="177"/>
        <v>29.460691524698436</v>
      </c>
      <c r="AV115" s="296">
        <f t="shared" si="177"/>
        <v>30.741886396418927</v>
      </c>
      <c r="AW115" s="244">
        <f>SUM(AO115:AV115)</f>
        <v>90.32213476722117</v>
      </c>
      <c r="AX115" s="177" t="s">
        <v>295</v>
      </c>
      <c r="AY115" s="21"/>
      <c r="BA115" s="156"/>
      <c r="BB115" s="156"/>
    </row>
    <row r="116" spans="1:48" ht="15.75">
      <c r="A116" s="47" t="s">
        <v>356</v>
      </c>
      <c r="B116" s="13"/>
      <c r="C116" s="142"/>
      <c r="E116" s="142"/>
      <c r="G116" s="142"/>
      <c r="I116" s="12"/>
      <c r="J116" s="142"/>
      <c r="L116" s="142"/>
      <c r="N116" s="142"/>
      <c r="P116" s="142"/>
      <c r="R116" s="142"/>
      <c r="S116" s="13"/>
      <c r="T116" s="13"/>
      <c r="U116" s="13"/>
      <c r="V116" s="13"/>
      <c r="W116" s="12"/>
      <c r="X116" s="142"/>
      <c r="Z116" s="142"/>
      <c r="AB116" s="142"/>
      <c r="AC116" s="13"/>
      <c r="AD116" s="13"/>
      <c r="AF116" s="142"/>
      <c r="AH116" s="142"/>
      <c r="AJ116" s="142"/>
      <c r="AK116" s="303" t="s">
        <v>357</v>
      </c>
      <c r="AL116" s="304">
        <f>AI115+AJ115</f>
        <v>45.20873990767714</v>
      </c>
      <c r="AM116" s="305">
        <f>AL116-AL57</f>
        <v>-4.215258416640495</v>
      </c>
      <c r="AN116" s="142"/>
      <c r="AO116" s="12"/>
      <c r="AP116" s="142"/>
      <c r="AR116" s="12"/>
      <c r="AS116" s="12"/>
      <c r="AT116" s="12"/>
      <c r="AU116" s="212"/>
      <c r="AV116" s="142"/>
    </row>
    <row r="117" spans="1:49" ht="15.75">
      <c r="A117" s="12"/>
      <c r="B117" s="63" t="s">
        <v>305</v>
      </c>
      <c r="C117" s="128">
        <f aca="true" t="shared" si="178" ref="C117:L117">C111*(100-C17)/100+IF(C26=0,0,C113/C27*C26)</f>
        <v>2.0415105645004576</v>
      </c>
      <c r="D117" s="5">
        <f t="shared" si="178"/>
        <v>1.8565132498715462</v>
      </c>
      <c r="E117" s="128">
        <f t="shared" si="178"/>
        <v>3.3210906951783157</v>
      </c>
      <c r="F117" s="5">
        <f t="shared" si="178"/>
        <v>4.094169630269038</v>
      </c>
      <c r="G117" s="128">
        <f t="shared" si="178"/>
        <v>4.214290193969608</v>
      </c>
      <c r="H117" s="5">
        <f t="shared" si="178"/>
        <v>0</v>
      </c>
      <c r="I117" s="62">
        <f t="shared" si="178"/>
        <v>1.7533026990029015</v>
      </c>
      <c r="J117" s="128">
        <f t="shared" si="178"/>
        <v>4.13569167933248</v>
      </c>
      <c r="K117" s="5">
        <f t="shared" si="178"/>
        <v>3.514155774188219</v>
      </c>
      <c r="L117" s="128">
        <f t="shared" si="178"/>
        <v>3.955970114063309</v>
      </c>
      <c r="M117" s="5">
        <f aca="true" t="shared" si="179" ref="M117:V117">M111*(100-M17)/100+IF(M26=0,0,M113/M27*M26)</f>
        <v>0</v>
      </c>
      <c r="N117" s="128">
        <f t="shared" si="179"/>
        <v>5.636158630828358</v>
      </c>
      <c r="O117" s="5">
        <f t="shared" si="179"/>
        <v>3.2090018827946003</v>
      </c>
      <c r="P117" s="128">
        <f t="shared" si="179"/>
        <v>4.294199007631299</v>
      </c>
      <c r="Q117" s="5">
        <f t="shared" si="179"/>
        <v>0</v>
      </c>
      <c r="R117" s="128">
        <f t="shared" si="179"/>
        <v>4.418661272097224</v>
      </c>
      <c r="S117" s="243">
        <f t="shared" si="179"/>
        <v>3.605600479624182</v>
      </c>
      <c r="T117" s="243">
        <f t="shared" si="179"/>
        <v>4.118077154961186</v>
      </c>
      <c r="U117" s="243">
        <f t="shared" si="179"/>
        <v>3.1131647505069617</v>
      </c>
      <c r="V117" s="243">
        <f t="shared" si="179"/>
        <v>0</v>
      </c>
      <c r="W117" s="62">
        <f aca="true" t="shared" si="180" ref="W117:AJ117">W111*(100-W17)/100+IF(W26=0,0,W113/W27*W26)</f>
        <v>4.498110495092378</v>
      </c>
      <c r="X117" s="128">
        <f t="shared" si="180"/>
        <v>0</v>
      </c>
      <c r="Y117" s="5">
        <f t="shared" si="180"/>
        <v>4.616716283690546</v>
      </c>
      <c r="Z117" s="128">
        <f t="shared" si="180"/>
        <v>4.655187253216167</v>
      </c>
      <c r="AA117" s="5">
        <f t="shared" si="180"/>
        <v>5.459416499466567</v>
      </c>
      <c r="AB117" s="128">
        <f t="shared" si="180"/>
        <v>4.957570064999662</v>
      </c>
      <c r="AC117" s="243">
        <f t="shared" si="180"/>
        <v>3.528012910135463</v>
      </c>
      <c r="AD117" s="243">
        <f t="shared" si="180"/>
        <v>0</v>
      </c>
      <c r="AE117" s="5">
        <f t="shared" si="180"/>
        <v>4.21668288207294</v>
      </c>
      <c r="AF117" s="128">
        <f t="shared" si="180"/>
        <v>3.090362632873714</v>
      </c>
      <c r="AG117" s="5">
        <f t="shared" si="180"/>
        <v>3.7606480271989877</v>
      </c>
      <c r="AH117" s="128">
        <f t="shared" si="180"/>
        <v>3.1642793869556898</v>
      </c>
      <c r="AI117" s="5">
        <f t="shared" si="180"/>
        <v>1.3006397608985683</v>
      </c>
      <c r="AJ117" s="128">
        <f t="shared" si="180"/>
        <v>1.6064751957037822</v>
      </c>
      <c r="AK117" s="306" t="s">
        <v>358</v>
      </c>
      <c r="AL117" s="46">
        <f>AL115+AL116</f>
        <v>218.59532490995525</v>
      </c>
      <c r="AM117" s="307" t="s">
        <v>295</v>
      </c>
      <c r="AN117" s="142"/>
      <c r="AO117" s="62">
        <f aca="true" t="shared" si="181" ref="AO117:AV117">AO111*(100-AO17)/100+IF(AO26=0,0,AO113/AO27*AO26)</f>
        <v>1.5360779064876782</v>
      </c>
      <c r="AP117" s="62">
        <f t="shared" si="181"/>
        <v>1.4710275959285006</v>
      </c>
      <c r="AQ117" s="62">
        <f t="shared" si="181"/>
        <v>1.5403818384282264</v>
      </c>
      <c r="AR117" s="62">
        <f t="shared" si="181"/>
        <v>1.462940251570796</v>
      </c>
      <c r="AS117" s="62">
        <f t="shared" si="181"/>
        <v>0.6816806000000001</v>
      </c>
      <c r="AT117" s="62">
        <f t="shared" si="181"/>
        <v>0.6816806000000001</v>
      </c>
      <c r="AU117" s="128">
        <f t="shared" si="181"/>
        <v>1.628049602641673</v>
      </c>
      <c r="AV117" s="5">
        <f t="shared" si="181"/>
        <v>1.591536929102722</v>
      </c>
      <c r="AW117" s="12"/>
    </row>
    <row r="118" spans="1:54" ht="15.75">
      <c r="A118" s="12"/>
      <c r="B118" s="63" t="s">
        <v>307</v>
      </c>
      <c r="C118" s="128">
        <f aca="true" t="shared" si="182" ref="C118:L118">C117*C63/100</f>
        <v>0.2449812677400549</v>
      </c>
      <c r="D118" s="5">
        <f t="shared" si="182"/>
        <v>0</v>
      </c>
      <c r="E118" s="128">
        <f t="shared" si="182"/>
        <v>0.26568725561426526</v>
      </c>
      <c r="F118" s="5">
        <f t="shared" si="182"/>
        <v>0</v>
      </c>
      <c r="G118" s="128">
        <f t="shared" si="182"/>
        <v>0.505714823276353</v>
      </c>
      <c r="H118" s="5">
        <f t="shared" si="182"/>
        <v>0</v>
      </c>
      <c r="I118" s="62">
        <f t="shared" si="182"/>
        <v>0</v>
      </c>
      <c r="J118" s="128">
        <f t="shared" si="182"/>
        <v>0.28949841755327355</v>
      </c>
      <c r="K118" s="5">
        <f t="shared" si="182"/>
        <v>0</v>
      </c>
      <c r="L118" s="128">
        <f t="shared" si="182"/>
        <v>0.35603731026569774</v>
      </c>
      <c r="M118" s="5">
        <f aca="true" t="shared" si="183" ref="M118:V118">M117*M63/100</f>
        <v>0</v>
      </c>
      <c r="N118" s="128">
        <f t="shared" si="183"/>
        <v>0.16908475892485075</v>
      </c>
      <c r="O118" s="5">
        <f t="shared" si="183"/>
        <v>0</v>
      </c>
      <c r="P118" s="128">
        <f t="shared" si="183"/>
        <v>0.6011878610683818</v>
      </c>
      <c r="Q118" s="5">
        <f t="shared" si="183"/>
        <v>0</v>
      </c>
      <c r="R118" s="128">
        <f t="shared" si="183"/>
        <v>0.3093062890468057</v>
      </c>
      <c r="S118" s="243">
        <f t="shared" si="183"/>
        <v>0</v>
      </c>
      <c r="T118" s="243">
        <f t="shared" si="183"/>
        <v>0.32944617239689483</v>
      </c>
      <c r="U118" s="243">
        <f t="shared" si="183"/>
        <v>0.1867898850304177</v>
      </c>
      <c r="V118" s="243">
        <f t="shared" si="183"/>
        <v>0</v>
      </c>
      <c r="W118" s="62">
        <f aca="true" t="shared" si="184" ref="W118:AJ118">W117*W63/100</f>
        <v>0.17992441980369514</v>
      </c>
      <c r="X118" s="128">
        <f t="shared" si="184"/>
        <v>0</v>
      </c>
      <c r="Y118" s="5">
        <f t="shared" si="184"/>
        <v>0.09233432567381092</v>
      </c>
      <c r="Z118" s="128">
        <f t="shared" si="184"/>
        <v>0</v>
      </c>
      <c r="AA118" s="5">
        <f t="shared" si="184"/>
        <v>0</v>
      </c>
      <c r="AB118" s="128">
        <f t="shared" si="184"/>
        <v>0</v>
      </c>
      <c r="AC118" s="243">
        <f t="shared" si="184"/>
        <v>0.2116807746081278</v>
      </c>
      <c r="AD118" s="243">
        <f t="shared" si="184"/>
        <v>0</v>
      </c>
      <c r="AE118" s="5">
        <f t="shared" si="184"/>
        <v>0.0843336576414588</v>
      </c>
      <c r="AF118" s="128">
        <f t="shared" si="184"/>
        <v>0</v>
      </c>
      <c r="AG118" s="5">
        <f t="shared" si="184"/>
        <v>0</v>
      </c>
      <c r="AH118" s="128">
        <f t="shared" si="184"/>
        <v>0</v>
      </c>
      <c r="AI118" s="5">
        <f t="shared" si="184"/>
        <v>0.4406567509924349</v>
      </c>
      <c r="AJ118" s="128">
        <f t="shared" si="184"/>
        <v>0.8694243759148869</v>
      </c>
      <c r="AK118" s="244">
        <f>SUM(C118:AJ118)</f>
        <v>5.13608834555141</v>
      </c>
      <c r="AL118" s="177" t="s">
        <v>359</v>
      </c>
      <c r="AM118" s="21"/>
      <c r="AN118" s="142"/>
      <c r="AO118" s="107">
        <f aca="true" t="shared" si="185" ref="AO118:AV118">AO117*AO63/100</f>
        <v>0.09216467438926068</v>
      </c>
      <c r="AP118" s="107">
        <f t="shared" si="185"/>
        <v>0.08826165575571004</v>
      </c>
      <c r="AQ118" s="107">
        <f t="shared" si="185"/>
        <v>0.15403818384282264</v>
      </c>
      <c r="AR118" s="107">
        <f t="shared" si="185"/>
        <v>0.1462940251570796</v>
      </c>
      <c r="AS118" s="107">
        <f t="shared" si="185"/>
        <v>0</v>
      </c>
      <c r="AT118" s="107">
        <f t="shared" si="185"/>
        <v>0</v>
      </c>
      <c r="AU118" s="121">
        <f t="shared" si="185"/>
        <v>0.5535368648981689</v>
      </c>
      <c r="AV118" s="73">
        <f t="shared" si="185"/>
        <v>0.5411225558949255</v>
      </c>
      <c r="AW118" s="244">
        <f>SUM(AO118:AV118)</f>
        <v>1.5754179599379674</v>
      </c>
      <c r="AX118" s="177" t="s">
        <v>308</v>
      </c>
      <c r="AY118" s="21"/>
      <c r="BA118" s="4"/>
      <c r="BB118" s="24"/>
    </row>
    <row r="119" spans="1:54" ht="15.75">
      <c r="A119" s="59" t="s">
        <v>360</v>
      </c>
      <c r="B119" s="27"/>
      <c r="C119" s="125">
        <f aca="true" t="shared" si="186" ref="C119:L119">C111/$J$5</f>
        <v>0.1652242282697036</v>
      </c>
      <c r="D119" s="101">
        <f t="shared" si="186"/>
        <v>0.1565124610404819</v>
      </c>
      <c r="E119" s="125">
        <f t="shared" si="186"/>
        <v>0.14607806694768583</v>
      </c>
      <c r="F119" s="101">
        <f t="shared" si="186"/>
        <v>0.17079934579423148</v>
      </c>
      <c r="G119" s="125">
        <f t="shared" si="186"/>
        <v>0.1579038746346657</v>
      </c>
      <c r="H119" s="101">
        <f t="shared" si="186"/>
        <v>0</v>
      </c>
      <c r="I119" s="125">
        <f t="shared" si="186"/>
        <v>0.1182490759551973</v>
      </c>
      <c r="J119" s="101">
        <f t="shared" si="186"/>
        <v>0.15495889234097096</v>
      </c>
      <c r="K119" s="125">
        <f t="shared" si="186"/>
        <v>0.14719431317102255</v>
      </c>
      <c r="L119" s="101">
        <f t="shared" si="186"/>
        <v>0.14961024323811462</v>
      </c>
      <c r="M119" s="125">
        <f aca="true" t="shared" si="187" ref="M119:V119">M111/$J$5</f>
        <v>0</v>
      </c>
      <c r="N119" s="101">
        <f t="shared" si="187"/>
        <v>0.2269390595915034</v>
      </c>
      <c r="O119" s="125">
        <f t="shared" si="187"/>
        <v>0.12136076319933108</v>
      </c>
      <c r="P119" s="101">
        <f t="shared" si="187"/>
        <v>0.15446203401429084</v>
      </c>
      <c r="Q119" s="125">
        <f t="shared" si="187"/>
        <v>0</v>
      </c>
      <c r="R119" s="101">
        <f t="shared" si="187"/>
        <v>0.17530029358195526</v>
      </c>
      <c r="S119" s="125">
        <f t="shared" si="187"/>
        <v>0.1376460782792938</v>
      </c>
      <c r="T119" s="101">
        <f t="shared" si="187"/>
        <v>0.14747151450053952</v>
      </c>
      <c r="U119" s="125">
        <f t="shared" si="187"/>
        <v>0.12597785490882818</v>
      </c>
      <c r="V119" s="308">
        <f t="shared" si="187"/>
        <v>0</v>
      </c>
      <c r="W119" s="116">
        <f aca="true" t="shared" si="188" ref="W119:AH119">W111/$J$5</f>
        <v>0.16699202315601894</v>
      </c>
      <c r="X119" s="125">
        <f t="shared" si="188"/>
        <v>0</v>
      </c>
      <c r="Y119" s="101">
        <f t="shared" si="188"/>
        <v>0.18137944395909011</v>
      </c>
      <c r="Z119" s="125">
        <f t="shared" si="188"/>
        <v>0.19622666675165265</v>
      </c>
      <c r="AA119" s="101">
        <f t="shared" si="188"/>
        <v>0.2277543069132308</v>
      </c>
      <c r="AB119" s="116">
        <f t="shared" si="188"/>
        <v>0.21456029351172184</v>
      </c>
      <c r="AC119" s="125">
        <f t="shared" si="188"/>
        <v>0.13928309383159215</v>
      </c>
      <c r="AD119" s="101">
        <f t="shared" si="188"/>
        <v>0</v>
      </c>
      <c r="AE119" s="125">
        <f t="shared" si="188"/>
        <v>0.15654404360519197</v>
      </c>
      <c r="AF119" s="101">
        <f t="shared" si="188"/>
        <v>0.14210811424306716</v>
      </c>
      <c r="AG119" s="125">
        <f t="shared" si="188"/>
        <v>0.17695235283484287</v>
      </c>
      <c r="AH119" s="101">
        <f t="shared" si="188"/>
        <v>0.20007229451757305</v>
      </c>
      <c r="AI119" s="125">
        <f>AI111/$AI$5</f>
        <v>0.0958653533847829</v>
      </c>
      <c r="AJ119" s="308">
        <f>AJ111/$AI$5</f>
        <v>0.11340422617830555</v>
      </c>
      <c r="AN119" s="142"/>
      <c r="AO119" s="5">
        <f aca="true" t="shared" si="189" ref="AO119:AV119">AO111/$AN$4</f>
        <v>0.1399793965961652</v>
      </c>
      <c r="AP119" s="62">
        <f t="shared" si="189"/>
        <v>0.1417852457367394</v>
      </c>
      <c r="AQ119" s="62">
        <f t="shared" si="189"/>
        <v>0.1331110042056303</v>
      </c>
      <c r="AR119" s="62">
        <f t="shared" si="189"/>
        <v>0.1440530211181488</v>
      </c>
      <c r="AS119" s="62">
        <f t="shared" si="189"/>
        <v>0.08541507117080996</v>
      </c>
      <c r="AT119" s="62">
        <f t="shared" si="189"/>
        <v>0.08541507117080996</v>
      </c>
      <c r="AU119" s="128">
        <f t="shared" si="189"/>
        <v>0.13599719348450223</v>
      </c>
      <c r="AV119" s="5">
        <f t="shared" si="189"/>
        <v>0.14068481543559233</v>
      </c>
      <c r="AW119" s="12"/>
      <c r="BA119" s="24"/>
      <c r="BB119" s="24"/>
    </row>
    <row r="120" spans="1:49" ht="15.75">
      <c r="A120" s="12"/>
      <c r="B120" s="295" t="s">
        <v>361</v>
      </c>
      <c r="C120" s="128">
        <f aca="true" t="shared" si="190" ref="C120:L120">IF(C115=0,"",+C114/$J$5)</f>
        <v>4.873258015735599</v>
      </c>
      <c r="D120" s="5">
        <f t="shared" si="190"/>
      </c>
      <c r="E120" s="128">
        <f t="shared" si="190"/>
        <v>5.908119887901888</v>
      </c>
      <c r="F120" s="5">
        <f t="shared" si="190"/>
      </c>
      <c r="G120" s="128">
        <f t="shared" si="190"/>
        <v>5.256310690338736</v>
      </c>
      <c r="H120" s="5">
        <f t="shared" si="190"/>
      </c>
      <c r="I120" s="128">
        <f t="shared" si="190"/>
      </c>
      <c r="J120" s="5">
        <f t="shared" si="190"/>
        <v>11.07592856594295</v>
      </c>
      <c r="K120" s="128">
        <f t="shared" si="190"/>
      </c>
      <c r="L120" s="5">
        <f t="shared" si="190"/>
        <v>11.384956508197835</v>
      </c>
      <c r="M120" s="128">
        <f aca="true" t="shared" si="191" ref="M120:V120">IF(M115=0,"",+M114/$J$5)</f>
      </c>
      <c r="N120" s="5">
        <f t="shared" si="191"/>
        <v>9.57391536563833</v>
      </c>
      <c r="O120" s="128">
        <f t="shared" si="191"/>
      </c>
      <c r="P120" s="5">
        <f t="shared" si="191"/>
        <v>6.130391119053782</v>
      </c>
      <c r="Q120" s="128">
        <f t="shared" si="191"/>
      </c>
      <c r="R120" s="5">
        <f t="shared" si="191"/>
        <v>7.478324548229699</v>
      </c>
      <c r="S120" s="128">
        <f t="shared" si="191"/>
      </c>
      <c r="T120" s="5">
        <f t="shared" si="191"/>
        <v>7.757449976132461</v>
      </c>
      <c r="U120" s="128">
        <f t="shared" si="191"/>
        <v>5.20752677325013</v>
      </c>
      <c r="V120" s="243">
        <f t="shared" si="191"/>
      </c>
      <c r="W120" s="62">
        <f aca="true" t="shared" si="192" ref="W120:AH120">IF(W115=0,"",+W114/$J$5)</f>
        <v>8.288251241050437</v>
      </c>
      <c r="X120" s="128">
        <f t="shared" si="192"/>
      </c>
      <c r="Y120" s="5">
        <f t="shared" si="192"/>
        <v>6.241328996338118</v>
      </c>
      <c r="Z120" s="128">
        <f t="shared" si="192"/>
      </c>
      <c r="AA120" s="5">
        <f t="shared" si="192"/>
      </c>
      <c r="AB120" s="62">
        <f t="shared" si="192"/>
      </c>
      <c r="AC120" s="128">
        <f t="shared" si="192"/>
        <v>6.376268609135224</v>
      </c>
      <c r="AD120" s="5">
        <f t="shared" si="192"/>
      </c>
      <c r="AE120" s="128">
        <f t="shared" si="192"/>
        <v>4.359843276244136</v>
      </c>
      <c r="AF120" s="5">
        <f t="shared" si="192"/>
      </c>
      <c r="AG120" s="128">
        <f t="shared" si="192"/>
      </c>
      <c r="AH120" s="5">
        <f t="shared" si="192"/>
      </c>
      <c r="AI120" s="128">
        <f>IF(AI115=0,"",+AI114/$AI$5)</f>
        <v>2.3077497868308203</v>
      </c>
      <c r="AJ120" s="243">
        <f>IF(AJ115=0,"",+AJ114/$AI$5)</f>
        <v>2.7420721874261766</v>
      </c>
      <c r="AN120" s="12"/>
      <c r="AO120" s="62">
        <f aca="true" t="shared" si="193" ref="AO120:AV120">IF(AO115=0,"",+AO114/$AN$4)</f>
        <v>4.604992690191766</v>
      </c>
      <c r="AP120" s="128">
        <f t="shared" si="193"/>
        <v>4.757181137027029</v>
      </c>
      <c r="AQ120" s="5">
        <f t="shared" si="193"/>
        <v>4.553414161614427</v>
      </c>
      <c r="AR120" s="62">
        <f t="shared" si="193"/>
        <v>4.9252903863324615</v>
      </c>
      <c r="AS120" s="128">
        <f t="shared" si="193"/>
      </c>
      <c r="AT120" s="5">
        <f t="shared" si="193"/>
      </c>
      <c r="AU120" s="128">
        <f t="shared" si="193"/>
        <v>4.342877542086072</v>
      </c>
      <c r="AV120" s="5">
        <f t="shared" si="193"/>
        <v>4.531741826916796</v>
      </c>
      <c r="AW120" s="12"/>
    </row>
    <row r="121" spans="1:54" ht="15.75">
      <c r="A121" s="17"/>
      <c r="B121" s="19"/>
      <c r="C121" s="20"/>
      <c r="D121" s="18"/>
      <c r="E121" s="20"/>
      <c r="F121" s="18"/>
      <c r="G121" s="20"/>
      <c r="H121" s="18"/>
      <c r="I121" s="20"/>
      <c r="J121" s="18"/>
      <c r="K121" s="20"/>
      <c r="L121" s="18"/>
      <c r="M121" s="20"/>
      <c r="N121" s="18"/>
      <c r="O121" s="20"/>
      <c r="P121" s="18"/>
      <c r="Q121" s="20"/>
      <c r="R121" s="18"/>
      <c r="S121" s="20"/>
      <c r="T121" s="18"/>
      <c r="U121" s="20"/>
      <c r="V121" s="19"/>
      <c r="W121" s="17"/>
      <c r="X121" s="20"/>
      <c r="Y121" s="18"/>
      <c r="Z121" s="20"/>
      <c r="AA121" s="18"/>
      <c r="AB121" s="17"/>
      <c r="AC121" s="20"/>
      <c r="AD121" s="18"/>
      <c r="AE121" s="20"/>
      <c r="AF121" s="18"/>
      <c r="AG121" s="20"/>
      <c r="AH121" s="18"/>
      <c r="AI121" s="20"/>
      <c r="AJ121" s="19"/>
      <c r="AN121" s="12"/>
      <c r="AO121" s="17"/>
      <c r="AP121" s="20"/>
      <c r="AQ121" s="18"/>
      <c r="AR121" s="17"/>
      <c r="AS121" s="20"/>
      <c r="AT121" s="18"/>
      <c r="AU121" s="20"/>
      <c r="AV121" s="18"/>
      <c r="AW121" s="12"/>
      <c r="AZ121" s="155"/>
      <c r="BA121" s="156"/>
      <c r="BB121" s="156"/>
    </row>
    <row r="122" spans="1:53" ht="15.75">
      <c r="A122" s="59" t="s">
        <v>362</v>
      </c>
      <c r="B122" s="16"/>
      <c r="C122" s="212"/>
      <c r="D122" s="15"/>
      <c r="E122" s="212"/>
      <c r="F122" s="15"/>
      <c r="G122" s="212"/>
      <c r="H122" s="15"/>
      <c r="I122" s="212"/>
      <c r="J122" s="15"/>
      <c r="K122" s="212"/>
      <c r="L122" s="15"/>
      <c r="M122" s="212"/>
      <c r="N122" s="15"/>
      <c r="O122" s="212"/>
      <c r="P122" s="15"/>
      <c r="Q122" s="212"/>
      <c r="R122" s="15"/>
      <c r="S122" s="212"/>
      <c r="T122" s="15"/>
      <c r="U122" s="212"/>
      <c r="V122" s="16"/>
      <c r="W122" s="14"/>
      <c r="X122" s="212"/>
      <c r="Y122" s="15"/>
      <c r="Z122" s="212"/>
      <c r="AA122" s="15"/>
      <c r="AB122" s="14"/>
      <c r="AC122" s="212"/>
      <c r="AD122" s="15"/>
      <c r="AE122" s="212"/>
      <c r="AF122" s="15"/>
      <c r="AG122" s="212"/>
      <c r="AH122" s="15"/>
      <c r="AI122" s="14"/>
      <c r="AJ122" s="16"/>
      <c r="AN122" s="12"/>
      <c r="AZ122" s="46"/>
      <c r="BA122" s="24"/>
    </row>
    <row r="123" spans="1:40" ht="15.75">
      <c r="A123" s="12"/>
      <c r="B123" s="63" t="s">
        <v>363</v>
      </c>
      <c r="C123" s="142"/>
      <c r="E123" s="128">
        <f aca="true" t="shared" si="194" ref="E123:N123">IF(E114=0,0,E63)</f>
        <v>8</v>
      </c>
      <c r="F123" s="5">
        <f t="shared" si="194"/>
        <v>0</v>
      </c>
      <c r="G123" s="128">
        <f t="shared" si="194"/>
        <v>12</v>
      </c>
      <c r="H123" s="5">
        <f t="shared" si="194"/>
        <v>0</v>
      </c>
      <c r="I123" s="128">
        <f t="shared" si="194"/>
        <v>0</v>
      </c>
      <c r="J123" s="5">
        <f t="shared" si="194"/>
        <v>7</v>
      </c>
      <c r="K123" s="128">
        <f t="shared" si="194"/>
        <v>0</v>
      </c>
      <c r="L123" s="5">
        <f t="shared" si="194"/>
        <v>9</v>
      </c>
      <c r="M123" s="128">
        <f t="shared" si="194"/>
        <v>0</v>
      </c>
      <c r="N123" s="5">
        <f t="shared" si="194"/>
        <v>3</v>
      </c>
      <c r="O123" s="128">
        <f aca="true" t="shared" si="195" ref="O123:X123">IF(O114=0,0,O63)</f>
        <v>0</v>
      </c>
      <c r="P123" s="5">
        <f t="shared" si="195"/>
        <v>14</v>
      </c>
      <c r="Q123" s="128">
        <f t="shared" si="195"/>
        <v>0</v>
      </c>
      <c r="R123" s="5">
        <f t="shared" si="195"/>
        <v>7</v>
      </c>
      <c r="S123" s="128">
        <f t="shared" si="195"/>
        <v>0</v>
      </c>
      <c r="T123" s="5">
        <f t="shared" si="195"/>
        <v>8</v>
      </c>
      <c r="U123" s="128">
        <f t="shared" si="195"/>
        <v>6</v>
      </c>
      <c r="V123" s="243">
        <f t="shared" si="195"/>
        <v>0</v>
      </c>
      <c r="W123" s="62">
        <f t="shared" si="195"/>
        <v>4</v>
      </c>
      <c r="X123" s="128">
        <f t="shared" si="195"/>
        <v>0</v>
      </c>
      <c r="Y123" s="5">
        <f aca="true" t="shared" si="196" ref="Y123:AH123">IF(Y114=0,0,Y63)</f>
        <v>2</v>
      </c>
      <c r="Z123" s="128">
        <f t="shared" si="196"/>
        <v>0</v>
      </c>
      <c r="AA123" s="5">
        <f t="shared" si="196"/>
        <v>0</v>
      </c>
      <c r="AB123" s="62">
        <f t="shared" si="196"/>
        <v>0</v>
      </c>
      <c r="AC123" s="128">
        <f t="shared" si="196"/>
        <v>6</v>
      </c>
      <c r="AD123" s="5">
        <f t="shared" si="196"/>
        <v>0</v>
      </c>
      <c r="AE123" s="128">
        <f t="shared" si="196"/>
        <v>2</v>
      </c>
      <c r="AF123" s="5">
        <f t="shared" si="196"/>
        <v>0</v>
      </c>
      <c r="AG123" s="128">
        <f t="shared" si="196"/>
        <v>0</v>
      </c>
      <c r="AH123" s="5">
        <f t="shared" si="196"/>
        <v>0</v>
      </c>
      <c r="AI123" s="47" t="s">
        <v>364</v>
      </c>
      <c r="AJ123" s="309">
        <f>SUM(C123:AH123)</f>
        <v>88</v>
      </c>
      <c r="AN123" s="12"/>
    </row>
    <row r="124" spans="1:40" ht="15.75">
      <c r="A124" s="12"/>
      <c r="B124" s="63" t="s">
        <v>365</v>
      </c>
      <c r="C124" s="142"/>
      <c r="E124" s="121">
        <f aca="true" t="shared" si="197" ref="E124:N124">E97*E123/100</f>
        <v>0.84</v>
      </c>
      <c r="F124" s="5">
        <f t="shared" si="197"/>
        <v>0</v>
      </c>
      <c r="G124" s="121">
        <f t="shared" si="197"/>
        <v>0.612</v>
      </c>
      <c r="H124" s="5">
        <f t="shared" si="197"/>
        <v>0</v>
      </c>
      <c r="I124" s="121">
        <f t="shared" si="197"/>
        <v>0</v>
      </c>
      <c r="J124" s="5">
        <f t="shared" si="197"/>
        <v>0.504</v>
      </c>
      <c r="K124" s="121">
        <f t="shared" si="197"/>
        <v>0</v>
      </c>
      <c r="L124" s="5">
        <f t="shared" si="197"/>
        <v>0.5489999999999999</v>
      </c>
      <c r="M124" s="121">
        <f t="shared" si="197"/>
        <v>0</v>
      </c>
      <c r="N124" s="5">
        <f t="shared" si="197"/>
        <v>0.42900000000000005</v>
      </c>
      <c r="O124" s="121">
        <f aca="true" t="shared" si="198" ref="O124:X124">O97*O123/100</f>
        <v>0</v>
      </c>
      <c r="P124" s="5">
        <f t="shared" si="198"/>
        <v>0.44800000000000006</v>
      </c>
      <c r="Q124" s="121">
        <f t="shared" si="198"/>
        <v>0</v>
      </c>
      <c r="R124" s="5">
        <f t="shared" si="198"/>
        <v>0.301</v>
      </c>
      <c r="S124" s="121">
        <f t="shared" si="198"/>
        <v>0</v>
      </c>
      <c r="T124" s="5">
        <f t="shared" si="198"/>
        <v>0.35200000000000004</v>
      </c>
      <c r="U124" s="121">
        <f t="shared" si="198"/>
        <v>0.31799999999999995</v>
      </c>
      <c r="V124" s="243">
        <f t="shared" si="198"/>
        <v>0</v>
      </c>
      <c r="W124" s="62">
        <f t="shared" si="198"/>
        <v>0.196</v>
      </c>
      <c r="X124" s="121">
        <f t="shared" si="198"/>
        <v>0</v>
      </c>
      <c r="Y124" s="5">
        <f aca="true" t="shared" si="199" ref="Y124:AH124">Y97*Y123/100</f>
        <v>0.14800000000000002</v>
      </c>
      <c r="Z124" s="121">
        <f t="shared" si="199"/>
        <v>0</v>
      </c>
      <c r="AA124" s="5">
        <f t="shared" si="199"/>
        <v>0</v>
      </c>
      <c r="AB124" s="62">
        <f t="shared" si="199"/>
        <v>0</v>
      </c>
      <c r="AC124" s="121">
        <f t="shared" si="199"/>
        <v>0.288</v>
      </c>
      <c r="AD124" s="5">
        <f t="shared" si="199"/>
        <v>0</v>
      </c>
      <c r="AE124" s="121">
        <f t="shared" si="199"/>
        <v>0.13</v>
      </c>
      <c r="AF124" s="5">
        <f t="shared" si="199"/>
        <v>0</v>
      </c>
      <c r="AG124" s="121">
        <f t="shared" si="199"/>
        <v>0</v>
      </c>
      <c r="AH124" s="5">
        <f t="shared" si="199"/>
        <v>0</v>
      </c>
      <c r="AI124" s="310">
        <f>SUM(C124:AH124)/$AJ$123*100</f>
        <v>5.812499999999999</v>
      </c>
      <c r="AJ124" s="311">
        <f>SUM(C124:AH124)/$AJ$123*100</f>
        <v>5.812499999999999</v>
      </c>
      <c r="AN124" s="12"/>
    </row>
    <row r="125" spans="1:40" ht="15.75">
      <c r="A125" s="59" t="s">
        <v>366</v>
      </c>
      <c r="B125" s="16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6"/>
      <c r="W125" s="14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6"/>
      <c r="AI125" s="212"/>
      <c r="AN125" s="12"/>
    </row>
    <row r="126" spans="1:40" ht="15.75">
      <c r="A126" s="55" t="s">
        <v>21</v>
      </c>
      <c r="B126" s="63" t="s">
        <v>367</v>
      </c>
      <c r="C126" s="62">
        <f aca="true" t="shared" si="200" ref="C126:L126">IF(C$13=1,C$63,"")</f>
        <v>12</v>
      </c>
      <c r="D126" s="5">
        <f t="shared" si="200"/>
        <v>0</v>
      </c>
      <c r="E126" s="5">
        <f t="shared" si="200"/>
      </c>
      <c r="F126" s="5">
        <f t="shared" si="200"/>
      </c>
      <c r="G126" s="5">
        <f t="shared" si="200"/>
      </c>
      <c r="H126" s="5">
        <f t="shared" si="200"/>
      </c>
      <c r="I126" s="5">
        <f t="shared" si="200"/>
      </c>
      <c r="J126" s="5">
        <f t="shared" si="200"/>
      </c>
      <c r="K126" s="5">
        <f t="shared" si="200"/>
      </c>
      <c r="L126" s="5">
        <f t="shared" si="200"/>
      </c>
      <c r="M126" s="5">
        <f aca="true" t="shared" si="201" ref="M126:V126">IF(M$13=1,M$63,"")</f>
      </c>
      <c r="N126" s="5">
        <f t="shared" si="201"/>
      </c>
      <c r="O126" s="5">
        <f t="shared" si="201"/>
      </c>
      <c r="P126" s="5">
        <f t="shared" si="201"/>
      </c>
      <c r="Q126" s="5">
        <f t="shared" si="201"/>
      </c>
      <c r="R126" s="5">
        <f t="shared" si="201"/>
      </c>
      <c r="S126" s="5">
        <f t="shared" si="201"/>
      </c>
      <c r="T126" s="5">
        <f t="shared" si="201"/>
      </c>
      <c r="U126" s="5">
        <f t="shared" si="201"/>
      </c>
      <c r="V126" s="243">
        <f t="shared" si="201"/>
      </c>
      <c r="W126" s="62">
        <f aca="true" t="shared" si="202" ref="W126:AH126">IF(W$13=1,W$63,"")</f>
      </c>
      <c r="X126" s="5">
        <f t="shared" si="202"/>
      </c>
      <c r="Y126" s="5">
        <f t="shared" si="202"/>
      </c>
      <c r="Z126" s="5">
        <f t="shared" si="202"/>
      </c>
      <c r="AA126" s="5">
        <f t="shared" si="202"/>
      </c>
      <c r="AB126" s="5">
        <f t="shared" si="202"/>
      </c>
      <c r="AC126" s="5">
        <f t="shared" si="202"/>
      </c>
      <c r="AD126" s="5">
        <f t="shared" si="202"/>
      </c>
      <c r="AE126" s="5">
        <f t="shared" si="202"/>
      </c>
      <c r="AF126" s="5">
        <f t="shared" si="202"/>
      </c>
      <c r="AG126" s="5">
        <f t="shared" si="202"/>
      </c>
      <c r="AH126" s="243">
        <f t="shared" si="202"/>
      </c>
      <c r="AI126" s="88">
        <f>SUM(C126:AH126)</f>
        <v>12</v>
      </c>
      <c r="AN126" s="12"/>
    </row>
    <row r="127" spans="1:40" ht="15.75">
      <c r="A127" s="55" t="s">
        <v>21</v>
      </c>
      <c r="B127" s="63" t="s">
        <v>368</v>
      </c>
      <c r="C127" s="62">
        <f aca="true" t="shared" si="203" ref="C127:L127">IF(C$13=2,C$63,"")</f>
      </c>
      <c r="D127" s="5">
        <f t="shared" si="203"/>
      </c>
      <c r="E127" s="5">
        <f t="shared" si="203"/>
        <v>8</v>
      </c>
      <c r="F127" s="5">
        <f t="shared" si="203"/>
        <v>0</v>
      </c>
      <c r="G127" s="5">
        <f t="shared" si="203"/>
      </c>
      <c r="H127" s="5">
        <f t="shared" si="203"/>
      </c>
      <c r="I127" s="5">
        <f t="shared" si="203"/>
        <v>0</v>
      </c>
      <c r="J127" s="5">
        <f t="shared" si="203"/>
        <v>7</v>
      </c>
      <c r="K127" s="5">
        <f t="shared" si="203"/>
      </c>
      <c r="L127" s="5">
        <f t="shared" si="203"/>
      </c>
      <c r="M127" s="5">
        <f aca="true" t="shared" si="204" ref="M127:V127">IF(M$13=2,M$63,"")</f>
        <v>0</v>
      </c>
      <c r="N127" s="5">
        <f t="shared" si="204"/>
        <v>3</v>
      </c>
      <c r="O127" s="5">
        <f t="shared" si="204"/>
      </c>
      <c r="P127" s="5">
        <f t="shared" si="204"/>
      </c>
      <c r="Q127" s="5">
        <f t="shared" si="204"/>
      </c>
      <c r="R127" s="5">
        <f t="shared" si="204"/>
      </c>
      <c r="S127" s="5">
        <f t="shared" si="204"/>
      </c>
      <c r="T127" s="5">
        <f t="shared" si="204"/>
      </c>
      <c r="U127" s="5">
        <f t="shared" si="204"/>
      </c>
      <c r="V127" s="243">
        <f t="shared" si="204"/>
      </c>
      <c r="W127" s="62">
        <f aca="true" t="shared" si="205" ref="W127:AH127">IF(W$13=2,W$63,"")</f>
      </c>
      <c r="X127" s="5">
        <f t="shared" si="205"/>
      </c>
      <c r="Y127" s="5">
        <f t="shared" si="205"/>
        <v>2</v>
      </c>
      <c r="Z127" s="5">
        <f t="shared" si="205"/>
        <v>0</v>
      </c>
      <c r="AA127" s="5">
        <f t="shared" si="205"/>
      </c>
      <c r="AB127" s="5">
        <f t="shared" si="205"/>
      </c>
      <c r="AC127" s="5">
        <f t="shared" si="205"/>
      </c>
      <c r="AD127" s="5">
        <f t="shared" si="205"/>
      </c>
      <c r="AE127" s="5">
        <f t="shared" si="205"/>
      </c>
      <c r="AF127" s="5">
        <f t="shared" si="205"/>
      </c>
      <c r="AG127" s="5">
        <f t="shared" si="205"/>
      </c>
      <c r="AH127" s="243">
        <f t="shared" si="205"/>
      </c>
      <c r="AI127" s="88">
        <f>SUM(C127:AH127)</f>
        <v>20</v>
      </c>
      <c r="AN127" s="12"/>
    </row>
    <row r="128" spans="1:40" ht="15.75">
      <c r="A128" s="55" t="s">
        <v>21</v>
      </c>
      <c r="B128" s="63" t="s">
        <v>369</v>
      </c>
      <c r="C128" s="62">
        <f aca="true" t="shared" si="206" ref="C128:L128">IF(C$13=3,C$63,"")</f>
      </c>
      <c r="D128" s="5">
        <f t="shared" si="206"/>
      </c>
      <c r="E128" s="5">
        <f t="shared" si="206"/>
      </c>
      <c r="F128" s="5">
        <f t="shared" si="206"/>
      </c>
      <c r="G128" s="5">
        <f t="shared" si="206"/>
      </c>
      <c r="H128" s="5">
        <f t="shared" si="206"/>
      </c>
      <c r="I128" s="5">
        <f t="shared" si="206"/>
      </c>
      <c r="J128" s="5">
        <f t="shared" si="206"/>
      </c>
      <c r="K128" s="5">
        <f t="shared" si="206"/>
      </c>
      <c r="L128" s="5">
        <f t="shared" si="206"/>
      </c>
      <c r="M128" s="5">
        <f aca="true" t="shared" si="207" ref="M128:V128">IF(M$13=3,M$63,"")</f>
      </c>
      <c r="N128" s="5">
        <f t="shared" si="207"/>
      </c>
      <c r="O128" s="5">
        <f t="shared" si="207"/>
      </c>
      <c r="P128" s="5">
        <f t="shared" si="207"/>
      </c>
      <c r="Q128" s="5">
        <f t="shared" si="207"/>
      </c>
      <c r="R128" s="5">
        <f t="shared" si="207"/>
      </c>
      <c r="S128" s="5">
        <f t="shared" si="207"/>
      </c>
      <c r="T128" s="5">
        <f t="shared" si="207"/>
      </c>
      <c r="U128" s="5">
        <f t="shared" si="207"/>
      </c>
      <c r="V128" s="243">
        <f t="shared" si="207"/>
      </c>
      <c r="W128" s="62">
        <f aca="true" t="shared" si="208" ref="W128:AH128">IF(W$13=3,W$63,"")</f>
      </c>
      <c r="X128" s="5">
        <f t="shared" si="208"/>
      </c>
      <c r="Y128" s="5">
        <f t="shared" si="208"/>
      </c>
      <c r="Z128" s="5">
        <f t="shared" si="208"/>
      </c>
      <c r="AA128" s="5">
        <f t="shared" si="208"/>
      </c>
      <c r="AB128" s="5">
        <f t="shared" si="208"/>
      </c>
      <c r="AC128" s="5">
        <f t="shared" si="208"/>
      </c>
      <c r="AD128" s="5">
        <f t="shared" si="208"/>
      </c>
      <c r="AE128" s="5">
        <f t="shared" si="208"/>
      </c>
      <c r="AF128" s="5">
        <f t="shared" si="208"/>
      </c>
      <c r="AG128" s="5">
        <f t="shared" si="208"/>
      </c>
      <c r="AH128" s="243">
        <f t="shared" si="208"/>
      </c>
      <c r="AI128" s="88">
        <f>SUM(C128:AH128)</f>
        <v>0</v>
      </c>
      <c r="AN128" s="12"/>
    </row>
    <row r="129" spans="1:40" ht="15.75">
      <c r="A129" s="55" t="s">
        <v>21</v>
      </c>
      <c r="B129" s="63" t="s">
        <v>370</v>
      </c>
      <c r="C129" s="62">
        <f aca="true" t="shared" si="209" ref="C129:L129">IF(C$13=4,C$63,"")</f>
      </c>
      <c r="D129" s="5">
        <f t="shared" si="209"/>
      </c>
      <c r="E129" s="5">
        <f t="shared" si="209"/>
      </c>
      <c r="F129" s="5">
        <f t="shared" si="209"/>
      </c>
      <c r="G129" s="5">
        <f t="shared" si="209"/>
        <v>12</v>
      </c>
      <c r="H129" s="5">
        <f t="shared" si="209"/>
        <v>0</v>
      </c>
      <c r="I129" s="5">
        <f t="shared" si="209"/>
      </c>
      <c r="J129" s="5">
        <f t="shared" si="209"/>
      </c>
      <c r="K129" s="5">
        <f t="shared" si="209"/>
        <v>0</v>
      </c>
      <c r="L129" s="5">
        <f t="shared" si="209"/>
        <v>9</v>
      </c>
      <c r="M129" s="5">
        <f aca="true" t="shared" si="210" ref="M129:V129">IF(M$13=4,M$63,"")</f>
      </c>
      <c r="N129" s="5">
        <f t="shared" si="210"/>
      </c>
      <c r="O129" s="5">
        <f t="shared" si="210"/>
        <v>0</v>
      </c>
      <c r="P129" s="5">
        <f t="shared" si="210"/>
        <v>14</v>
      </c>
      <c r="Q129" s="5">
        <f t="shared" si="210"/>
        <v>0</v>
      </c>
      <c r="R129" s="5">
        <f t="shared" si="210"/>
        <v>7</v>
      </c>
      <c r="S129" s="5">
        <f t="shared" si="210"/>
        <v>0</v>
      </c>
      <c r="T129" s="5">
        <f t="shared" si="210"/>
        <v>8</v>
      </c>
      <c r="U129" s="5">
        <f t="shared" si="210"/>
        <v>6</v>
      </c>
      <c r="V129" s="243">
        <f t="shared" si="210"/>
        <v>0</v>
      </c>
      <c r="W129" s="62">
        <f aca="true" t="shared" si="211" ref="W129:AH129">IF(W$13=4,W$63,"")</f>
        <v>4</v>
      </c>
      <c r="X129" s="5">
        <f t="shared" si="211"/>
        <v>0</v>
      </c>
      <c r="Y129" s="5">
        <f t="shared" si="211"/>
      </c>
      <c r="Z129" s="5">
        <f t="shared" si="211"/>
      </c>
      <c r="AA129" s="5">
        <f t="shared" si="211"/>
      </c>
      <c r="AB129" s="5">
        <f t="shared" si="211"/>
      </c>
      <c r="AC129" s="5">
        <f t="shared" si="211"/>
        <v>6</v>
      </c>
      <c r="AD129" s="5">
        <f t="shared" si="211"/>
        <v>0</v>
      </c>
      <c r="AE129" s="5">
        <f t="shared" si="211"/>
        <v>2</v>
      </c>
      <c r="AF129" s="5">
        <f t="shared" si="211"/>
        <v>0</v>
      </c>
      <c r="AG129" s="5">
        <f t="shared" si="211"/>
      </c>
      <c r="AH129" s="243">
        <f t="shared" si="211"/>
      </c>
      <c r="AI129" s="100">
        <f>SUM(C129:AH129)</f>
        <v>68</v>
      </c>
      <c r="AJ129" s="24"/>
      <c r="AN129" s="12"/>
    </row>
    <row r="130" spans="1:40" ht="15.75">
      <c r="A130" s="17"/>
      <c r="B130" s="19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9"/>
      <c r="W130" s="17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9"/>
      <c r="AI130" s="312">
        <f>SUM(AI126:AI129)</f>
        <v>100</v>
      </c>
      <c r="AJ130" s="24"/>
      <c r="AN130" s="12"/>
    </row>
    <row r="131" spans="1:52" ht="15.75">
      <c r="A131" s="313" t="s">
        <v>371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5.75">
      <c r="A132" s="42"/>
      <c r="B132" s="175" t="s">
        <v>372</v>
      </c>
      <c r="C132" s="3">
        <f aca="true" t="shared" si="212" ref="C132:L132">$J$5*C56*C63/100</f>
        <v>0.2562733248</v>
      </c>
      <c r="D132" s="3">
        <f t="shared" si="212"/>
        <v>0</v>
      </c>
      <c r="E132" s="3">
        <f t="shared" si="212"/>
        <v>0.0797110272</v>
      </c>
      <c r="F132" s="3">
        <f t="shared" si="212"/>
        <v>0</v>
      </c>
      <c r="G132" s="3">
        <f t="shared" si="212"/>
        <v>0.12870009600000004</v>
      </c>
      <c r="H132" s="3">
        <f t="shared" si="212"/>
        <v>0</v>
      </c>
      <c r="I132" s="3">
        <f t="shared" si="212"/>
        <v>0</v>
      </c>
      <c r="J132" s="3">
        <f t="shared" si="212"/>
        <v>0.06746376000000001</v>
      </c>
      <c r="K132" s="3">
        <f t="shared" si="212"/>
        <v>0</v>
      </c>
      <c r="L132" s="3">
        <f t="shared" si="212"/>
        <v>0.09054229679999999</v>
      </c>
      <c r="M132" s="3">
        <f aca="true" t="shared" si="213" ref="M132:V132">$J$5*M56*M63/100</f>
        <v>0</v>
      </c>
      <c r="N132" s="3">
        <f t="shared" si="213"/>
        <v>0.053500244399999994</v>
      </c>
      <c r="O132" s="3">
        <f t="shared" si="213"/>
        <v>0</v>
      </c>
      <c r="P132" s="3">
        <f t="shared" si="213"/>
        <v>0.1265550944</v>
      </c>
      <c r="Q132" s="3">
        <f t="shared" si="213"/>
        <v>0</v>
      </c>
      <c r="R132" s="3">
        <f t="shared" si="213"/>
        <v>0.1239949312</v>
      </c>
      <c r="S132" s="3">
        <f t="shared" si="213"/>
        <v>0</v>
      </c>
      <c r="T132" s="3">
        <f t="shared" si="213"/>
        <v>0.05905179519999999</v>
      </c>
      <c r="U132" s="3">
        <f t="shared" si="213"/>
        <v>0.0741953088</v>
      </c>
      <c r="V132" s="3">
        <f t="shared" si="213"/>
        <v>0</v>
      </c>
      <c r="W132" s="3">
        <f aca="true" t="shared" si="214" ref="W132:AH132">$J$5*W56*W63/100</f>
        <v>0.052092896</v>
      </c>
      <c r="X132" s="3">
        <f t="shared" si="214"/>
        <v>0</v>
      </c>
      <c r="Y132" s="3">
        <f t="shared" si="214"/>
        <v>0.03906967200000001</v>
      </c>
      <c r="Z132" s="3">
        <f t="shared" si="214"/>
        <v>0</v>
      </c>
      <c r="AA132" s="3">
        <f t="shared" si="214"/>
        <v>0</v>
      </c>
      <c r="AB132" s="3">
        <f t="shared" si="214"/>
        <v>0</v>
      </c>
      <c r="AC132" s="3">
        <f t="shared" si="214"/>
        <v>0.070355064</v>
      </c>
      <c r="AD132" s="3">
        <f t="shared" si="214"/>
        <v>0</v>
      </c>
      <c r="AE132" s="3">
        <f t="shared" si="214"/>
        <v>0.02205546</v>
      </c>
      <c r="AF132" s="3">
        <f t="shared" si="214"/>
        <v>0</v>
      </c>
      <c r="AG132" s="3">
        <f t="shared" si="214"/>
        <v>0</v>
      </c>
      <c r="AH132" s="3">
        <f t="shared" si="214"/>
        <v>0</v>
      </c>
      <c r="AI132" s="3">
        <f>$AI$5*AI56*AI63/100</f>
        <v>0.35285830272000007</v>
      </c>
      <c r="AJ132" s="3">
        <f>$AI$5*AJ56*AJ63/100</f>
        <v>0.56851587936</v>
      </c>
      <c r="AK132" s="314">
        <f>SUM(C132:AJ132)</f>
        <v>2.16493515288</v>
      </c>
      <c r="AL132" s="175" t="s">
        <v>373</v>
      </c>
      <c r="AM132" s="3"/>
      <c r="AN132" s="3"/>
      <c r="AO132" s="3">
        <f aca="true" t="shared" si="215" ref="AO132:AV132">$AN$4*AO56*AO63/100</f>
        <v>0.11798814719999999</v>
      </c>
      <c r="AP132" s="3">
        <f t="shared" si="215"/>
        <v>0.145809216</v>
      </c>
      <c r="AQ132" s="3">
        <f t="shared" si="215"/>
        <v>0.11209033599999998</v>
      </c>
      <c r="AR132" s="3">
        <f t="shared" si="215"/>
        <v>0.15417508959999998</v>
      </c>
      <c r="AS132" s="3">
        <f t="shared" si="215"/>
        <v>0</v>
      </c>
      <c r="AT132" s="3">
        <f t="shared" si="215"/>
        <v>0</v>
      </c>
      <c r="AU132" s="3">
        <f t="shared" si="215"/>
        <v>0.5824467647999999</v>
      </c>
      <c r="AV132" s="3">
        <f t="shared" si="215"/>
        <v>0.6146692448</v>
      </c>
      <c r="AW132" s="37">
        <f>SUM(AO132:AV132)</f>
        <v>1.7271787983999998</v>
      </c>
      <c r="AX132" s="147" t="s">
        <v>374</v>
      </c>
      <c r="AY132" s="199"/>
      <c r="AZ132" s="3"/>
    </row>
    <row r="133" spans="1:52" ht="15.75">
      <c r="A133" s="42"/>
      <c r="B133" s="175" t="s">
        <v>375</v>
      </c>
      <c r="C133" s="3">
        <f aca="true" t="shared" si="216" ref="C133:L133">C63*C39/100</f>
        <v>9.559636363636365</v>
      </c>
      <c r="D133" s="3">
        <f t="shared" si="216"/>
        <v>0</v>
      </c>
      <c r="E133" s="3">
        <f t="shared" si="216"/>
        <v>12.737454545454545</v>
      </c>
      <c r="F133" s="3">
        <f t="shared" si="216"/>
        <v>0</v>
      </c>
      <c r="G133" s="3">
        <f t="shared" si="216"/>
        <v>15.187668049792537</v>
      </c>
      <c r="H133" s="3">
        <f t="shared" si="216"/>
        <v>0</v>
      </c>
      <c r="I133" s="3">
        <f t="shared" si="216"/>
        <v>0</v>
      </c>
      <c r="J133" s="3">
        <f t="shared" si="216"/>
        <v>19.863546728971954</v>
      </c>
      <c r="K133" s="3">
        <f t="shared" si="216"/>
        <v>0</v>
      </c>
      <c r="L133" s="3">
        <f t="shared" si="216"/>
        <v>25.604695322939865</v>
      </c>
      <c r="M133" s="3">
        <f aca="true" t="shared" si="217" ref="M133:V133">M63*M39/100</f>
        <v>0</v>
      </c>
      <c r="N133" s="3">
        <f t="shared" si="217"/>
        <v>6.167896328293734</v>
      </c>
      <c r="O133" s="3">
        <f t="shared" si="217"/>
        <v>0</v>
      </c>
      <c r="P133" s="3">
        <f t="shared" si="217"/>
        <v>22.34976140094856</v>
      </c>
      <c r="Q133" s="3">
        <f t="shared" si="217"/>
        <v>0</v>
      </c>
      <c r="R133" s="3">
        <f t="shared" si="217"/>
        <v>11.085249999999998</v>
      </c>
      <c r="S133" s="3">
        <f t="shared" si="217"/>
        <v>0</v>
      </c>
      <c r="T133" s="3">
        <f t="shared" si="217"/>
        <v>16.793935018050533</v>
      </c>
      <c r="U133" s="3">
        <f t="shared" si="217"/>
        <v>7.876520270270266</v>
      </c>
      <c r="V133" s="3">
        <f t="shared" si="217"/>
        <v>0</v>
      </c>
      <c r="W133" s="3">
        <f aca="true" t="shared" si="218" ref="W133:AH133">W63*W39/100</f>
        <v>8.262741573033708</v>
      </c>
      <c r="X133" s="3">
        <f t="shared" si="218"/>
        <v>0</v>
      </c>
      <c r="Y133" s="3">
        <f t="shared" si="218"/>
        <v>2.6495850622406647</v>
      </c>
      <c r="Z133" s="3">
        <f t="shared" si="218"/>
        <v>0</v>
      </c>
      <c r="AA133" s="3">
        <f t="shared" si="218"/>
        <v>0</v>
      </c>
      <c r="AB133" s="3">
        <f t="shared" si="218"/>
        <v>0</v>
      </c>
      <c r="AC133" s="3">
        <f t="shared" si="218"/>
        <v>9.621011320754716</v>
      </c>
      <c r="AD133" s="3">
        <f t="shared" si="218"/>
        <v>0</v>
      </c>
      <c r="AE133" s="3">
        <f t="shared" si="218"/>
        <v>2.034976138828633</v>
      </c>
      <c r="AF133" s="3">
        <f t="shared" si="218"/>
        <v>0</v>
      </c>
      <c r="AG133" s="3">
        <f t="shared" si="218"/>
        <v>0</v>
      </c>
      <c r="AH133" s="3">
        <f t="shared" si="218"/>
        <v>0</v>
      </c>
      <c r="AI133" s="3"/>
      <c r="AJ133" s="3"/>
      <c r="AK133" s="3">
        <f>SUM(C133:AJ133)</f>
        <v>169.79467812321607</v>
      </c>
      <c r="AL133" s="175" t="s">
        <v>376</v>
      </c>
      <c r="AM133" s="3"/>
      <c r="AN133" s="3"/>
      <c r="AO133" s="3">
        <f aca="true" t="shared" si="219" ref="AO133:AV133">AO63*AO39/100</f>
        <v>5.734136017410228</v>
      </c>
      <c r="AP133" s="3">
        <f t="shared" si="219"/>
        <v>5.9292</v>
      </c>
      <c r="AQ133" s="3">
        <f t="shared" si="219"/>
        <v>9.457116968698514</v>
      </c>
      <c r="AR133" s="3">
        <f t="shared" si="219"/>
        <v>10.253120464441217</v>
      </c>
      <c r="AS133" s="3">
        <f t="shared" si="219"/>
        <v>0</v>
      </c>
      <c r="AT133" s="3">
        <f t="shared" si="219"/>
        <v>0</v>
      </c>
      <c r="AU133" s="3">
        <f t="shared" si="219"/>
        <v>30.520840055632817</v>
      </c>
      <c r="AV133" s="3">
        <f t="shared" si="219"/>
        <v>31.99409518961568</v>
      </c>
      <c r="AW133" s="48">
        <f>SUM(AO133:AV133)</f>
        <v>93.88850869579845</v>
      </c>
      <c r="AX133" s="315" t="s">
        <v>377</v>
      </c>
      <c r="AY133" s="316"/>
      <c r="AZ133" s="3"/>
    </row>
    <row r="134" spans="1:52" ht="15.75">
      <c r="A134" s="42"/>
      <c r="B134" s="175" t="s">
        <v>378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>
        <f>AI14*AI39/100</f>
        <v>21.6519482946794</v>
      </c>
      <c r="AJ134" s="3">
        <f>AJ14*AJ39/100</f>
        <v>35.930531681786455</v>
      </c>
      <c r="AK134" s="3">
        <f>SUM(C134:AJ134)</f>
        <v>57.582479976465855</v>
      </c>
      <c r="AL134" s="175" t="s">
        <v>376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5.75">
      <c r="A135" s="4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5.75">
      <c r="A136" s="313" t="s">
        <v>379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5.75">
      <c r="A137" s="175" t="s">
        <v>331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5.75">
      <c r="A138" s="42"/>
      <c r="B138" s="175" t="s">
        <v>380</v>
      </c>
      <c r="C138" s="3">
        <f aca="true" t="shared" si="220" ref="C138:L138">($J$4-$C$4)*C76/1000</f>
        <v>0.371298</v>
      </c>
      <c r="D138" s="3">
        <f t="shared" si="220"/>
        <v>0.371298</v>
      </c>
      <c r="E138" s="3">
        <f t="shared" si="220"/>
        <v>0.156336</v>
      </c>
      <c r="F138" s="3">
        <f t="shared" si="220"/>
        <v>0.175878</v>
      </c>
      <c r="G138" s="3">
        <f t="shared" si="220"/>
        <v>0.175878</v>
      </c>
      <c r="H138" s="3">
        <f t="shared" si="220"/>
        <v>0.175878</v>
      </c>
      <c r="I138" s="3">
        <f t="shared" si="220"/>
        <v>0.175878</v>
      </c>
      <c r="J138" s="3">
        <f t="shared" si="220"/>
        <v>0.175878</v>
      </c>
      <c r="K138" s="3">
        <f t="shared" si="220"/>
        <v>0.156336</v>
      </c>
      <c r="L138" s="3">
        <f t="shared" si="220"/>
        <v>0.175878</v>
      </c>
      <c r="M138" s="3">
        <f aca="true" t="shared" si="221" ref="M138:V138">($J$4-$C$4)*M76/1000</f>
        <v>0.156336</v>
      </c>
      <c r="N138" s="3">
        <f t="shared" si="221"/>
        <v>0.175878</v>
      </c>
      <c r="O138" s="3">
        <f t="shared" si="221"/>
        <v>0.156336</v>
      </c>
      <c r="P138" s="3">
        <f t="shared" si="221"/>
        <v>0.175878</v>
      </c>
      <c r="Q138" s="3">
        <f t="shared" si="221"/>
        <v>0.156336</v>
      </c>
      <c r="R138" s="3">
        <f t="shared" si="221"/>
        <v>0.175878</v>
      </c>
      <c r="S138" s="3">
        <f t="shared" si="221"/>
        <v>0.175878</v>
      </c>
      <c r="T138" s="3">
        <f t="shared" si="221"/>
        <v>0.175878</v>
      </c>
      <c r="U138" s="3">
        <f t="shared" si="221"/>
        <v>0.175878</v>
      </c>
      <c r="V138" s="3">
        <f t="shared" si="221"/>
        <v>0.156336</v>
      </c>
      <c r="W138" s="3">
        <f aca="true" t="shared" si="222" ref="W138:AH138">($J$4-$C$4)*W76/1000</f>
        <v>0.175878</v>
      </c>
      <c r="X138" s="3">
        <f t="shared" si="222"/>
        <v>0.16610700000000003</v>
      </c>
      <c r="Y138" s="3">
        <f t="shared" si="222"/>
        <v>0.156336</v>
      </c>
      <c r="Z138" s="3">
        <f t="shared" si="222"/>
        <v>0.16610700000000003</v>
      </c>
      <c r="AA138" s="3">
        <f t="shared" si="222"/>
        <v>0.175878</v>
      </c>
      <c r="AB138" s="3">
        <f t="shared" si="222"/>
        <v>0.156336</v>
      </c>
      <c r="AC138" s="3">
        <f t="shared" si="222"/>
        <v>0.175878</v>
      </c>
      <c r="AD138" s="3">
        <f t="shared" si="222"/>
        <v>0.156336</v>
      </c>
      <c r="AE138" s="3">
        <f t="shared" si="222"/>
        <v>0.156336</v>
      </c>
      <c r="AF138" s="3">
        <f t="shared" si="222"/>
        <v>0.156336</v>
      </c>
      <c r="AG138" s="3">
        <f t="shared" si="222"/>
        <v>0.156336</v>
      </c>
      <c r="AH138" s="3">
        <f t="shared" si="222"/>
        <v>0.16610700000000003</v>
      </c>
      <c r="AI138" s="3">
        <f>($AI$4-$AB$4)*AI76/1000</f>
        <v>0.41034</v>
      </c>
      <c r="AJ138" s="3">
        <f>($AI$4-$AB$4)*AJ76/1000</f>
        <v>0.4885</v>
      </c>
      <c r="AK138" s="3"/>
      <c r="AL138" s="3"/>
      <c r="AM138" s="3"/>
      <c r="AN138" s="3"/>
      <c r="AO138" s="3">
        <f aca="true" t="shared" si="223" ref="AO138:AV138">($AO$1+$AO$2)*AO76/1000</f>
        <v>0.34195</v>
      </c>
      <c r="AP138" s="3">
        <f t="shared" si="223"/>
        <v>0.34195</v>
      </c>
      <c r="AQ138" s="3">
        <f t="shared" si="223"/>
        <v>0.34195</v>
      </c>
      <c r="AR138" s="3">
        <f t="shared" si="223"/>
        <v>0.34195</v>
      </c>
      <c r="AS138" s="3">
        <f t="shared" si="223"/>
        <v>0.34195</v>
      </c>
      <c r="AT138" s="3">
        <f t="shared" si="223"/>
        <v>0.34195</v>
      </c>
      <c r="AU138" s="3">
        <f t="shared" si="223"/>
        <v>0.34195</v>
      </c>
      <c r="AV138" s="3">
        <f t="shared" si="223"/>
        <v>0.34195</v>
      </c>
      <c r="AW138" s="3"/>
      <c r="AX138" s="3"/>
      <c r="AY138" s="3"/>
      <c r="AZ138" s="3"/>
    </row>
    <row r="139" spans="1:52" ht="15.75">
      <c r="A139" s="42"/>
      <c r="B139" s="175" t="s">
        <v>381</v>
      </c>
      <c r="C139" s="7">
        <f aca="true" t="shared" si="224" ref="C139:L139">($F$4*C78+$I$4*C79+$H$4*C80)/1000</f>
        <v>0.171063</v>
      </c>
      <c r="D139" s="7">
        <f t="shared" si="224"/>
        <v>0.171063</v>
      </c>
      <c r="E139" s="7">
        <f t="shared" si="224"/>
        <v>0.09698400000000001</v>
      </c>
      <c r="F139" s="7">
        <f t="shared" si="224"/>
        <v>0.09698400000000001</v>
      </c>
      <c r="G139" s="7">
        <f t="shared" si="224"/>
        <v>0.09698400000000001</v>
      </c>
      <c r="H139" s="7">
        <f t="shared" si="224"/>
        <v>0.09698400000000001</v>
      </c>
      <c r="I139" s="7">
        <f t="shared" si="224"/>
        <v>0.09698400000000001</v>
      </c>
      <c r="J139" s="7">
        <f t="shared" si="224"/>
        <v>0.09698400000000001</v>
      </c>
      <c r="K139" s="7">
        <f t="shared" si="224"/>
        <v>0.09698400000000001</v>
      </c>
      <c r="L139" s="7">
        <f t="shared" si="224"/>
        <v>0.09698400000000001</v>
      </c>
      <c r="M139" s="7">
        <f aca="true" t="shared" si="225" ref="M139:V139">($F$4*M78+$I$4*M79+$H$4*M80)/1000</f>
        <v>0.09698400000000001</v>
      </c>
      <c r="N139" s="7">
        <f t="shared" si="225"/>
        <v>0.09698400000000001</v>
      </c>
      <c r="O139" s="7">
        <f t="shared" si="225"/>
        <v>0.09698400000000001</v>
      </c>
      <c r="P139" s="7">
        <f t="shared" si="225"/>
        <v>0.09698400000000001</v>
      </c>
      <c r="Q139" s="7">
        <f t="shared" si="225"/>
        <v>0.09698400000000001</v>
      </c>
      <c r="R139" s="7">
        <f t="shared" si="225"/>
        <v>0.09698400000000001</v>
      </c>
      <c r="S139" s="7">
        <f t="shared" si="225"/>
        <v>0.09698400000000001</v>
      </c>
      <c r="T139" s="7">
        <f t="shared" si="225"/>
        <v>0.09698400000000001</v>
      </c>
      <c r="U139" s="7">
        <f t="shared" si="225"/>
        <v>0.09698400000000001</v>
      </c>
      <c r="V139" s="7">
        <f t="shared" si="225"/>
        <v>0.09698400000000001</v>
      </c>
      <c r="W139" s="7">
        <f aca="true" t="shared" si="226" ref="W139:AJ139">($F$4*W78+$I$4*W79+$H$4*W80)/1000</f>
        <v>0.09698400000000001</v>
      </c>
      <c r="X139" s="7">
        <f t="shared" si="226"/>
        <v>0.09698400000000001</v>
      </c>
      <c r="Y139" s="7">
        <f t="shared" si="226"/>
        <v>0.09698400000000001</v>
      </c>
      <c r="Z139" s="7">
        <f t="shared" si="226"/>
        <v>0.09698400000000001</v>
      </c>
      <c r="AA139" s="7">
        <f t="shared" si="226"/>
        <v>0.09698400000000001</v>
      </c>
      <c r="AB139" s="7">
        <f t="shared" si="226"/>
        <v>0.09698400000000001</v>
      </c>
      <c r="AC139" s="7">
        <f t="shared" si="226"/>
        <v>0.09698400000000001</v>
      </c>
      <c r="AD139" s="7">
        <f t="shared" si="226"/>
        <v>0.09698400000000001</v>
      </c>
      <c r="AE139" s="7">
        <f t="shared" si="226"/>
        <v>0.09698400000000001</v>
      </c>
      <c r="AF139" s="7">
        <f t="shared" si="226"/>
        <v>0.09698400000000001</v>
      </c>
      <c r="AG139" s="7">
        <f t="shared" si="226"/>
        <v>0.09698400000000001</v>
      </c>
      <c r="AH139" s="7">
        <f t="shared" si="226"/>
        <v>0.09698400000000001</v>
      </c>
      <c r="AI139" s="7">
        <f t="shared" si="226"/>
        <v>0.15888999999999998</v>
      </c>
      <c r="AJ139" s="7">
        <f t="shared" si="226"/>
        <v>0.15888999999999998</v>
      </c>
      <c r="AK139" s="3"/>
      <c r="AL139" s="3"/>
      <c r="AM139" s="3"/>
      <c r="AN139" s="3"/>
      <c r="AO139" s="7">
        <f aca="true" t="shared" si="227" ref="AO139:AV139">$AO$3*AO76/1000</f>
        <v>0.197085</v>
      </c>
      <c r="AP139" s="7">
        <f t="shared" si="227"/>
        <v>0.197085</v>
      </c>
      <c r="AQ139" s="7">
        <f t="shared" si="227"/>
        <v>0.197085</v>
      </c>
      <c r="AR139" s="7">
        <f t="shared" si="227"/>
        <v>0.197085</v>
      </c>
      <c r="AS139" s="7">
        <f t="shared" si="227"/>
        <v>0.197085</v>
      </c>
      <c r="AT139" s="7">
        <f t="shared" si="227"/>
        <v>0.197085</v>
      </c>
      <c r="AU139" s="7">
        <f t="shared" si="227"/>
        <v>0.197085</v>
      </c>
      <c r="AV139" s="7">
        <f t="shared" si="227"/>
        <v>0.197085</v>
      </c>
      <c r="AW139" s="3"/>
      <c r="AX139" s="3"/>
      <c r="AY139" s="3"/>
      <c r="AZ139" s="3"/>
    </row>
    <row r="140" spans="1:52" ht="15.75">
      <c r="A140" s="42"/>
      <c r="B140" s="175" t="s">
        <v>382</v>
      </c>
      <c r="C140" s="7">
        <f aca="true" t="shared" si="228" ref="C140:L140">C97*(C138+C139)/100</f>
        <v>0.042304157999999994</v>
      </c>
      <c r="D140" s="7">
        <f t="shared" si="228"/>
        <v>0.042304157999999994</v>
      </c>
      <c r="E140" s="7">
        <f t="shared" si="228"/>
        <v>0.0265986</v>
      </c>
      <c r="F140" s="7">
        <f t="shared" si="228"/>
        <v>0.028650510000000007</v>
      </c>
      <c r="G140" s="7">
        <f t="shared" si="228"/>
        <v>0.013915962000000002</v>
      </c>
      <c r="H140" s="7">
        <f t="shared" si="228"/>
        <v>0.013915962000000002</v>
      </c>
      <c r="I140" s="7">
        <f t="shared" si="228"/>
        <v>0.019646064000000005</v>
      </c>
      <c r="J140" s="7">
        <f t="shared" si="228"/>
        <v>0.019646064000000005</v>
      </c>
      <c r="K140" s="7">
        <f t="shared" si="228"/>
        <v>0.015452519999999999</v>
      </c>
      <c r="L140" s="7">
        <f t="shared" si="228"/>
        <v>0.016644582</v>
      </c>
      <c r="M140" s="7">
        <f aca="true" t="shared" si="229" ref="M140:V140">M97*(M138+M139)/100</f>
        <v>0.03622476</v>
      </c>
      <c r="N140" s="7">
        <f t="shared" si="229"/>
        <v>0.03901926600000001</v>
      </c>
      <c r="O140" s="7">
        <f t="shared" si="229"/>
        <v>0.00810624</v>
      </c>
      <c r="P140" s="7">
        <f t="shared" si="229"/>
        <v>0.008731584000000002</v>
      </c>
      <c r="Q140" s="7">
        <f t="shared" si="229"/>
        <v>0.01089276</v>
      </c>
      <c r="R140" s="7">
        <f t="shared" si="229"/>
        <v>0.011733066</v>
      </c>
      <c r="S140" s="7">
        <f t="shared" si="229"/>
        <v>0.012005928000000004</v>
      </c>
      <c r="T140" s="7">
        <f t="shared" si="229"/>
        <v>0.012005928000000004</v>
      </c>
      <c r="U140" s="7">
        <f t="shared" si="229"/>
        <v>0.014461686000000003</v>
      </c>
      <c r="V140" s="7">
        <f t="shared" si="229"/>
        <v>0.013425959999999999</v>
      </c>
      <c r="W140" s="7">
        <f aca="true" t="shared" si="230" ref="W140:AJ140">W97*(W138+W139)/100</f>
        <v>0.013370238000000003</v>
      </c>
      <c r="X140" s="7">
        <f t="shared" si="230"/>
        <v>0.012891459000000004</v>
      </c>
      <c r="Y140" s="7">
        <f t="shared" si="230"/>
        <v>0.01874568</v>
      </c>
      <c r="Z140" s="7">
        <f t="shared" si="230"/>
        <v>0.01946873400000001</v>
      </c>
      <c r="AA140" s="7">
        <f t="shared" si="230"/>
        <v>0.046386540000000004</v>
      </c>
      <c r="AB140" s="7">
        <f t="shared" si="230"/>
        <v>0.0430644</v>
      </c>
      <c r="AC140" s="7">
        <f t="shared" si="230"/>
        <v>0.013097376000000003</v>
      </c>
      <c r="AD140" s="7">
        <f t="shared" si="230"/>
        <v>0.01215936</v>
      </c>
      <c r="AE140" s="7">
        <f t="shared" si="230"/>
        <v>0.0164658</v>
      </c>
      <c r="AF140" s="7">
        <f t="shared" si="230"/>
        <v>0.0164658</v>
      </c>
      <c r="AG140" s="7">
        <f t="shared" si="230"/>
        <v>0.040531199999999996</v>
      </c>
      <c r="AH140" s="7">
        <f t="shared" si="230"/>
        <v>0.04209456000000001</v>
      </c>
      <c r="AI140" s="7">
        <f t="shared" si="230"/>
        <v>0.03308649374999999</v>
      </c>
      <c r="AJ140" s="7">
        <f t="shared" si="230"/>
        <v>0.03762954374999999</v>
      </c>
      <c r="AK140" s="3"/>
      <c r="AL140" s="3"/>
      <c r="AM140" s="3"/>
      <c r="AN140" s="3"/>
      <c r="AO140" s="7">
        <f aca="true" t="shared" si="231" ref="AO140:AV140">AO98</f>
        <v>0</v>
      </c>
      <c r="AP140" s="7">
        <f t="shared" si="231"/>
        <v>0</v>
      </c>
      <c r="AQ140" s="7">
        <f t="shared" si="231"/>
        <v>0</v>
      </c>
      <c r="AR140" s="7">
        <f t="shared" si="231"/>
        <v>0</v>
      </c>
      <c r="AS140" s="7">
        <f t="shared" si="231"/>
        <v>0</v>
      </c>
      <c r="AT140" s="7">
        <f t="shared" si="231"/>
        <v>0</v>
      </c>
      <c r="AU140" s="7">
        <f t="shared" si="231"/>
        <v>0</v>
      </c>
      <c r="AV140" s="7">
        <f t="shared" si="231"/>
        <v>0</v>
      </c>
      <c r="AW140" s="3"/>
      <c r="AX140" s="3"/>
      <c r="AY140" s="3"/>
      <c r="AZ140" s="3"/>
    </row>
    <row r="141" spans="1:52" ht="15.75">
      <c r="A141" s="313" t="s">
        <v>383</v>
      </c>
      <c r="B141" s="3"/>
      <c r="C141" s="7">
        <f aca="true" t="shared" si="232" ref="C141:L141">SUM(C138:C140)*C37</f>
        <v>0.9248339771999999</v>
      </c>
      <c r="D141" s="7">
        <f t="shared" si="232"/>
        <v>0.9151522319993666</v>
      </c>
      <c r="E141" s="7">
        <f t="shared" si="232"/>
        <v>0.3664388945454546</v>
      </c>
      <c r="F141" s="7">
        <f t="shared" si="232"/>
        <v>0.38303255900000016</v>
      </c>
      <c r="G141" s="7">
        <f t="shared" si="232"/>
        <v>0.365195670281328</v>
      </c>
      <c r="H141" s="7">
        <f t="shared" si="232"/>
        <v>0</v>
      </c>
      <c r="I141" s="7">
        <f t="shared" si="232"/>
        <v>0.40278754737531985</v>
      </c>
      <c r="J141" s="7">
        <f t="shared" si="232"/>
        <v>0.3616711856747663</v>
      </c>
      <c r="K141" s="7">
        <f t="shared" si="232"/>
        <v>0.3265931454345723</v>
      </c>
      <c r="L141" s="7">
        <f t="shared" si="232"/>
        <v>0.33599527812962143</v>
      </c>
      <c r="M141" s="7">
        <f aca="true" t="shared" si="233" ref="M141:V141">SUM(M138:M140)*M37</f>
        <v>0</v>
      </c>
      <c r="N141" s="7">
        <f t="shared" si="233"/>
        <v>0.4019428756419006</v>
      </c>
      <c r="O141" s="7">
        <f t="shared" si="233"/>
        <v>0.35229536075898993</v>
      </c>
      <c r="P141" s="7">
        <f t="shared" si="233"/>
        <v>0.35822279024064213</v>
      </c>
      <c r="Q141" s="7">
        <f t="shared" si="233"/>
        <v>0</v>
      </c>
      <c r="R141" s="7">
        <f t="shared" si="233"/>
        <v>0.3577766544</v>
      </c>
      <c r="S141" s="7">
        <f t="shared" si="233"/>
        <v>0.36785119398260874</v>
      </c>
      <c r="T141" s="7">
        <f t="shared" si="233"/>
        <v>0.3489375016981948</v>
      </c>
      <c r="U141" s="7">
        <f t="shared" si="233"/>
        <v>0.34595324895405405</v>
      </c>
      <c r="V141" s="7">
        <f t="shared" si="233"/>
        <v>0</v>
      </c>
      <c r="W141" s="7">
        <f aca="true" t="shared" si="234" ref="W141:AJ141">SUM(W138:W140)*W37</f>
        <v>0.42645387369438204</v>
      </c>
      <c r="X141" s="7">
        <f t="shared" si="234"/>
        <v>0</v>
      </c>
      <c r="Y141" s="7">
        <f t="shared" si="234"/>
        <v>0.3464604032863071</v>
      </c>
      <c r="Z141" s="7">
        <f t="shared" si="234"/>
        <v>0.3539330497674828</v>
      </c>
      <c r="AA141" s="7">
        <f t="shared" si="234"/>
        <v>0.4179253614545455</v>
      </c>
      <c r="AB141" s="7">
        <f t="shared" si="234"/>
        <v>0.3673936421662411</v>
      </c>
      <c r="AC141" s="7">
        <f t="shared" si="234"/>
        <v>0.3436907971924528</v>
      </c>
      <c r="AD141" s="7">
        <f t="shared" si="234"/>
        <v>0</v>
      </c>
      <c r="AE141" s="7">
        <f t="shared" si="234"/>
        <v>0.3797483852928416</v>
      </c>
      <c r="AF141" s="7">
        <f t="shared" si="234"/>
        <v>0.2906039168503936</v>
      </c>
      <c r="AG141" s="7">
        <f t="shared" si="234"/>
        <v>0.3393326277707005</v>
      </c>
      <c r="AH141" s="7">
        <f t="shared" si="234"/>
        <v>0.34930477682608696</v>
      </c>
      <c r="AI141" s="7">
        <f t="shared" si="234"/>
        <v>0.6456208310223396</v>
      </c>
      <c r="AJ141" s="7">
        <f t="shared" si="234"/>
        <v>0.7627953146977493</v>
      </c>
      <c r="AK141" s="3"/>
      <c r="AL141" s="3"/>
      <c r="AM141" s="3"/>
      <c r="AN141" s="3"/>
      <c r="AO141" s="7">
        <f aca="true" t="shared" si="235" ref="AO141:AV141">SUM(AO138:AO140)*AO37</f>
        <v>0.8942467475516863</v>
      </c>
      <c r="AP141" s="7">
        <f t="shared" si="235"/>
        <v>0.9379208999999997</v>
      </c>
      <c r="AQ141" s="7">
        <f t="shared" si="235"/>
        <v>0.8048227685337724</v>
      </c>
      <c r="AR141" s="7">
        <f t="shared" si="235"/>
        <v>0.9545378860667633</v>
      </c>
      <c r="AS141" s="7">
        <f t="shared" si="235"/>
        <v>0.5821578</v>
      </c>
      <c r="AT141" s="7">
        <f t="shared" si="235"/>
        <v>0.5821578</v>
      </c>
      <c r="AU141" s="7">
        <f t="shared" si="235"/>
        <v>0.8224969381084837</v>
      </c>
      <c r="AV141" s="7">
        <f t="shared" si="235"/>
        <v>0.855555144693306</v>
      </c>
      <c r="AW141" s="3"/>
      <c r="AX141" s="3"/>
      <c r="AY141" s="3"/>
      <c r="AZ141" s="3"/>
    </row>
    <row r="142" spans="1:52" ht="15.75">
      <c r="A142" s="313" t="s">
        <v>384</v>
      </c>
      <c r="B142" s="3"/>
      <c r="C142" s="7">
        <f aca="true" t="shared" si="236" ref="C142:L142">C141*C63/100</f>
        <v>0.11098007726399998</v>
      </c>
      <c r="D142" s="7">
        <f t="shared" si="236"/>
        <v>0</v>
      </c>
      <c r="E142" s="7">
        <f t="shared" si="236"/>
        <v>0.029315111563636368</v>
      </c>
      <c r="F142" s="7">
        <f t="shared" si="236"/>
        <v>0</v>
      </c>
      <c r="G142" s="7">
        <f t="shared" si="236"/>
        <v>0.04382348043375936</v>
      </c>
      <c r="H142" s="7">
        <f t="shared" si="236"/>
        <v>0</v>
      </c>
      <c r="I142" s="7">
        <f t="shared" si="236"/>
        <v>0</v>
      </c>
      <c r="J142" s="7">
        <f t="shared" si="236"/>
        <v>0.025316982997233638</v>
      </c>
      <c r="K142" s="7">
        <f t="shared" si="236"/>
        <v>0</v>
      </c>
      <c r="L142" s="7">
        <f t="shared" si="236"/>
        <v>0.03023957503166593</v>
      </c>
      <c r="M142" s="7">
        <f aca="true" t="shared" si="237" ref="M142:V142">M141*M63/100</f>
        <v>0</v>
      </c>
      <c r="N142" s="7">
        <f t="shared" si="237"/>
        <v>0.012058286269257019</v>
      </c>
      <c r="O142" s="7">
        <f t="shared" si="237"/>
        <v>0</v>
      </c>
      <c r="P142" s="7">
        <f t="shared" si="237"/>
        <v>0.0501511906336899</v>
      </c>
      <c r="Q142" s="7">
        <f t="shared" si="237"/>
        <v>0</v>
      </c>
      <c r="R142" s="7">
        <f t="shared" si="237"/>
        <v>0.025044365808000003</v>
      </c>
      <c r="S142" s="7">
        <f t="shared" si="237"/>
        <v>0</v>
      </c>
      <c r="T142" s="7">
        <f t="shared" si="237"/>
        <v>0.027915000135855586</v>
      </c>
      <c r="U142" s="7">
        <f t="shared" si="237"/>
        <v>0.020757194937243244</v>
      </c>
      <c r="V142" s="7">
        <f t="shared" si="237"/>
        <v>0</v>
      </c>
      <c r="W142" s="7">
        <f aca="true" t="shared" si="238" ref="W142:AJ142">W141*W63/100</f>
        <v>0.01705815494777528</v>
      </c>
      <c r="X142" s="7">
        <f t="shared" si="238"/>
        <v>0</v>
      </c>
      <c r="Y142" s="7">
        <f t="shared" si="238"/>
        <v>0.0069292080657261425</v>
      </c>
      <c r="Z142" s="7">
        <f t="shared" si="238"/>
        <v>0</v>
      </c>
      <c r="AA142" s="7">
        <f t="shared" si="238"/>
        <v>0</v>
      </c>
      <c r="AB142" s="7">
        <f t="shared" si="238"/>
        <v>0</v>
      </c>
      <c r="AC142" s="7">
        <f t="shared" si="238"/>
        <v>0.02062144783154717</v>
      </c>
      <c r="AD142" s="7">
        <f t="shared" si="238"/>
        <v>0</v>
      </c>
      <c r="AE142" s="7">
        <f t="shared" si="238"/>
        <v>0.007594967705856832</v>
      </c>
      <c r="AF142" s="7">
        <f t="shared" si="238"/>
        <v>0</v>
      </c>
      <c r="AG142" s="7">
        <f t="shared" si="238"/>
        <v>0</v>
      </c>
      <c r="AH142" s="7">
        <f t="shared" si="238"/>
        <v>0</v>
      </c>
      <c r="AI142" s="7">
        <f t="shared" si="238"/>
        <v>0.21873633755036867</v>
      </c>
      <c r="AJ142" s="7">
        <f t="shared" si="238"/>
        <v>0.4128248243144219</v>
      </c>
      <c r="AK142" s="3">
        <f>SUM(C142:AJ142)</f>
        <v>1.0593662054900372</v>
      </c>
      <c r="AL142" s="175" t="s">
        <v>385</v>
      </c>
      <c r="AM142" s="3"/>
      <c r="AN142" s="3"/>
      <c r="AO142" s="7">
        <f aca="true" t="shared" si="239" ref="AO142:AV142">AO141*AO63/100</f>
        <v>0.05365480485310118</v>
      </c>
      <c r="AP142" s="7">
        <f t="shared" si="239"/>
        <v>0.056275253999999976</v>
      </c>
      <c r="AQ142" s="7">
        <f t="shared" si="239"/>
        <v>0.08048227685337725</v>
      </c>
      <c r="AR142" s="7">
        <f t="shared" si="239"/>
        <v>0.09545378860667633</v>
      </c>
      <c r="AS142" s="7">
        <f t="shared" si="239"/>
        <v>0</v>
      </c>
      <c r="AT142" s="7">
        <f t="shared" si="239"/>
        <v>0</v>
      </c>
      <c r="AU142" s="7">
        <f t="shared" si="239"/>
        <v>0.27964895895688446</v>
      </c>
      <c r="AV142" s="7">
        <f t="shared" si="239"/>
        <v>0.290888749195724</v>
      </c>
      <c r="AW142" s="176">
        <f>SUM(AO142:AV142)</f>
        <v>0.8564038324657632</v>
      </c>
      <c r="AX142" s="317" t="s">
        <v>386</v>
      </c>
      <c r="AY142" s="318"/>
      <c r="AZ142" s="3"/>
    </row>
    <row r="143" spans="1:52" ht="15.75">
      <c r="A143" s="4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5.75">
      <c r="A144" s="35" t="s">
        <v>348</v>
      </c>
      <c r="B144" s="3"/>
      <c r="C144" s="3">
        <f aca="true" t="shared" si="240" ref="C144:L144">C63*C104</f>
        <v>10.821657445307356</v>
      </c>
      <c r="D144" s="3">
        <f t="shared" si="240"/>
        <v>0</v>
      </c>
      <c r="E144" s="3">
        <f t="shared" si="240"/>
        <v>6.9004198991830155</v>
      </c>
      <c r="F144" s="3">
        <f t="shared" si="240"/>
        <v>0</v>
      </c>
      <c r="G144" s="3">
        <f t="shared" si="240"/>
        <v>10.639384270252595</v>
      </c>
      <c r="H144" s="3">
        <f t="shared" si="240"/>
        <v>0</v>
      </c>
      <c r="I144" s="3">
        <f t="shared" si="240"/>
        <v>0</v>
      </c>
      <c r="J144" s="3">
        <f t="shared" si="240"/>
        <v>5.872525198474183</v>
      </c>
      <c r="K144" s="3">
        <f t="shared" si="240"/>
        <v>0</v>
      </c>
      <c r="L144" s="3">
        <f t="shared" si="240"/>
        <v>8.163211111529444</v>
      </c>
      <c r="M144" s="3">
        <f aca="true" t="shared" si="241" ref="M144:V144">M63*M104</f>
        <v>0</v>
      </c>
      <c r="N144" s="3">
        <f t="shared" si="241"/>
        <v>3.74109243921352</v>
      </c>
      <c r="O144" s="3">
        <f t="shared" si="241"/>
        <v>0</v>
      </c>
      <c r="P144" s="3">
        <f t="shared" si="241"/>
        <v>11.23900776704381</v>
      </c>
      <c r="Q144" s="3">
        <f t="shared" si="241"/>
        <v>0</v>
      </c>
      <c r="R144" s="3">
        <f t="shared" si="241"/>
        <v>8.944651306399203</v>
      </c>
      <c r="S144" s="3">
        <f t="shared" si="241"/>
        <v>0</v>
      </c>
      <c r="T144" s="3">
        <f t="shared" si="241"/>
        <v>5.587519751124447</v>
      </c>
      <c r="U144" s="3">
        <f t="shared" si="241"/>
        <v>6.620211152218593</v>
      </c>
      <c r="V144" s="3">
        <f t="shared" si="241"/>
        <v>0</v>
      </c>
      <c r="W144" s="3">
        <f aca="true" t="shared" si="242" ref="W144:AH144">W63*W104</f>
        <v>3.7127521918860777</v>
      </c>
      <c r="X144" s="3">
        <f t="shared" si="242"/>
        <v>0</v>
      </c>
      <c r="Y144" s="3">
        <f t="shared" si="242"/>
        <v>2.811785000923422</v>
      </c>
      <c r="Z144" s="3">
        <f t="shared" si="242"/>
        <v>0</v>
      </c>
      <c r="AA144" s="3">
        <f t="shared" si="242"/>
        <v>0</v>
      </c>
      <c r="AB144" s="3">
        <f t="shared" si="242"/>
        <v>0</v>
      </c>
      <c r="AC144" s="3">
        <f t="shared" si="242"/>
        <v>6.289349094005448</v>
      </c>
      <c r="AD144" s="3">
        <f t="shared" si="242"/>
        <v>0</v>
      </c>
      <c r="AE144" s="3">
        <f t="shared" si="242"/>
        <v>1.6289345421734247</v>
      </c>
      <c r="AF144" s="3">
        <f t="shared" si="242"/>
        <v>0</v>
      </c>
      <c r="AG144" s="3">
        <f t="shared" si="242"/>
        <v>0</v>
      </c>
      <c r="AH144" s="3">
        <f t="shared" si="242"/>
        <v>0</v>
      </c>
      <c r="AI144" s="3"/>
      <c r="AJ144" s="3"/>
      <c r="AK144" s="3">
        <f>SUM(C144:AH144)/100</f>
        <v>0.9297250116973452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37" ht="15.75">
      <c r="A145" s="24"/>
      <c r="AI145" s="3">
        <f>AI63*AI104</f>
        <v>40.99583281381653</v>
      </c>
      <c r="AJ145" s="3">
        <f>AJ63*AJ104</f>
        <v>55.83601434786151</v>
      </c>
      <c r="AK145" s="3">
        <f>SUM(C145:AJ145)/(AI63+AJ63)</f>
        <v>1.1003618995645232</v>
      </c>
    </row>
    <row r="146" ht="15.75">
      <c r="A146" s="24"/>
    </row>
    <row r="147" ht="15.75">
      <c r="A147" s="24"/>
    </row>
    <row r="148" ht="15.75">
      <c r="A148" s="24"/>
    </row>
    <row r="149" ht="15.75">
      <c r="A149" s="24"/>
    </row>
    <row r="150" ht="15.75">
      <c r="A150" s="24"/>
    </row>
    <row r="151" ht="15.75">
      <c r="A151" s="24"/>
    </row>
    <row r="152" ht="15.75">
      <c r="A152" s="24"/>
    </row>
    <row r="153" ht="15.75">
      <c r="A153" s="24"/>
    </row>
    <row r="154" ht="15.75">
      <c r="A154" s="24"/>
    </row>
  </sheetData>
  <printOptions/>
  <pageMargins left="0" right="0" top="0" bottom="0" header="0.4921259845" footer="0.4921259845"/>
  <pageSetup fitToHeight="3" fitToWidth="3" horizontalDpi="300" verticalDpi="300" orientation="landscape" paperSize="9" scale="55" r:id="rId1"/>
  <headerFooter alignWithMargins="0">
    <oddHeader>&amp;C&amp;RPage &amp;P</oddHeader>
  </headerFooter>
  <rowBreaks count="1" manualBreakCount="1">
    <brk id="68" max="65535" man="1"/>
  </rowBreaks>
  <colBreaks count="2" manualBreakCount="2">
    <brk id="22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coût matière</dc:title>
  <dc:subject>bases</dc:subject>
  <dc:creator>PSA Peugeot - Citroën</dc:creator>
  <cp:keywords/>
  <dc:description/>
  <cp:lastModifiedBy>bernard</cp:lastModifiedBy>
  <cp:lastPrinted>1999-09-27T15:04:33Z</cp:lastPrinted>
  <dcterms:created xsi:type="dcterms:W3CDTF">2006-08-04T12:38:47Z</dcterms:created>
  <dcterms:modified xsi:type="dcterms:W3CDTF">2016-12-17T13:02:24Z</dcterms:modified>
  <cp:category/>
  <cp:version/>
  <cp:contentType/>
  <cp:contentStatus/>
</cp:coreProperties>
</file>